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W:\2025_Banana Price Review\Support\5 Announcements\2 Prorate tools_Explanatory Documents\"/>
    </mc:Choice>
  </mc:AlternateContent>
  <xr:revisionPtr revIDLastSave="0" documentId="13_ncr:1_{09BBB666-9423-461D-97FD-3F0F9188645E}" xr6:coauthVersionLast="47" xr6:coauthVersionMax="47" xr10:uidLastSave="{00000000-0000-0000-0000-000000000000}"/>
  <workbookProtection workbookAlgorithmName="SHA-512" workbookHashValue="OGpyXUb7fHBaww2BOdYLG99Y7XipQ4E+SUf0rGX+JBGLGiRkjIWd8pl6Yvb04Yjc4kNHQHNGXpJ0vQ+sGCxHUw==" workbookSaltValue="onbMFWoFynD/lXqMfgGlvA==" workbookSpinCount="100000" lockStructure="1"/>
  <bookViews>
    <workbookView xWindow="-108" yWindow="-108" windowWidth="23256" windowHeight="13896" tabRatio="846" xr2:uid="{00000000-000D-0000-FFFF-FFFF00000000}"/>
  </bookViews>
  <sheets>
    <sheet name="prorata" sheetId="28" r:id="rId1"/>
    <sheet name="Sheet1" sheetId="29" r:id="rId2"/>
  </sheets>
  <definedNames>
    <definedName name="CI">prorata!$BU$35</definedName>
    <definedName name="CI_type">prorata!$BU$92:$BU$93</definedName>
    <definedName name="CM">prorata!$BT$35</definedName>
    <definedName name="CM_type">prorata!$BT$92</definedName>
    <definedName name="CO">prorata!$BN$35</definedName>
    <definedName name="CO_type">prorata!$BN$92:$BN$93</definedName>
    <definedName name="DO">prorata!$BO$35:$BO$36</definedName>
    <definedName name="DO_type">prorata!$BO$92:$BO$93</definedName>
    <definedName name="EC">prorata!$BM$35:$BM$39</definedName>
    <definedName name="EC_type">prorata!$BM$92:$BM$93</definedName>
    <definedName name="GH">prorata!$BS$35</definedName>
    <definedName name="GH_type">prorata!$BS$92:$BS$93</definedName>
    <definedName name="NI">prorata!$BQ$35:$BQ$36</definedName>
    <definedName name="NI_type">prorata!$BQ$92</definedName>
    <definedName name="PA">prorata!$BR$35</definedName>
    <definedName name="PA_type">prorata!$BR$92</definedName>
    <definedName name="PE">prorata!$BP$35</definedName>
    <definedName name="PE_type">prorata!$BP$93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P4" i="28" l="1"/>
  <c r="BL120" i="28" l="1"/>
  <c r="BP121" i="28"/>
  <c r="CS10" i="28"/>
  <c r="B10" i="28" s="1"/>
  <c r="CS9" i="28"/>
  <c r="B9" i="28" s="1"/>
  <c r="CS8" i="28"/>
  <c r="B8" i="28" s="1"/>
  <c r="BP32" i="28"/>
  <c r="BH20" i="28" l="1"/>
  <c r="BJ14" i="28"/>
  <c r="CR22" i="28"/>
  <c r="CQ22" i="28"/>
  <c r="CP22" i="28"/>
  <c r="CO22" i="28"/>
  <c r="BH45" i="28"/>
  <c r="CS15" i="28"/>
  <c r="B15" i="28" s="1"/>
  <c r="CS18" i="28"/>
  <c r="B18" i="28" s="1"/>
  <c r="CS21" i="28"/>
  <c r="B21" i="28" s="1"/>
  <c r="CS24" i="28"/>
  <c r="B24" i="28" s="1"/>
  <c r="CS26" i="28"/>
  <c r="CS28" i="28"/>
  <c r="CS13" i="28"/>
  <c r="CN8" i="28"/>
  <c r="CN9" i="28" s="1"/>
  <c r="CN10" i="28" s="1"/>
  <c r="CN11" i="28" s="1"/>
  <c r="CN12" i="28" s="1"/>
  <c r="CN13" i="28" s="1"/>
  <c r="CN14" i="28" s="1"/>
  <c r="CN15" i="28" s="1"/>
  <c r="CN16" i="28" s="1"/>
  <c r="CN17" i="28" s="1"/>
  <c r="CN18" i="28" s="1"/>
  <c r="CN19" i="28" s="1"/>
  <c r="CN20" i="28" s="1"/>
  <c r="CN21" i="28" s="1"/>
  <c r="CN22" i="28" s="1"/>
  <c r="CN23" i="28" s="1"/>
  <c r="CN24" i="28" s="1"/>
  <c r="CN25" i="28" s="1"/>
  <c r="CN26" i="28" s="1"/>
  <c r="CN27" i="28" s="1"/>
  <c r="CN28" i="28" s="1"/>
  <c r="CN29" i="28" s="1"/>
  <c r="CN7" i="28"/>
  <c r="BO186" i="28"/>
  <c r="BH22" i="28"/>
  <c r="BH21" i="28"/>
  <c r="BN15" i="28"/>
  <c r="BG42" i="28"/>
  <c r="BH40" i="28"/>
  <c r="BH41" i="28"/>
  <c r="BH43" i="28"/>
  <c r="BH44" i="28"/>
  <c r="BD42" i="28"/>
  <c r="CO23" i="28" l="1"/>
  <c r="CP23" i="28"/>
  <c r="BM103" i="28"/>
  <c r="BN103" i="28" s="1"/>
  <c r="BH42" i="28"/>
  <c r="CQ23" i="28"/>
  <c r="CR23" i="28"/>
  <c r="BN66" i="28"/>
  <c r="BU91" i="28"/>
  <c r="BS91" i="28"/>
  <c r="BT91" i="28"/>
  <c r="BN91" i="28"/>
  <c r="BO91" i="28"/>
  <c r="BP91" i="28"/>
  <c r="BQ91" i="28"/>
  <c r="BR91" i="28"/>
  <c r="BM91" i="28"/>
  <c r="CZ10" i="28"/>
  <c r="CY10" i="28"/>
  <c r="CX10" i="28"/>
  <c r="CW10" i="28"/>
  <c r="B57" i="28"/>
  <c r="CR6" i="28"/>
  <c r="CQ6" i="28"/>
  <c r="CP6" i="28"/>
  <c r="CO6" i="28"/>
  <c r="BN65" i="28"/>
  <c r="BJ21" i="28"/>
  <c r="BU62" i="28" l="1"/>
  <c r="BT62" i="28"/>
  <c r="BS62" i="28"/>
  <c r="BR62" i="28"/>
  <c r="BQ62" i="28"/>
  <c r="BP62" i="28"/>
  <c r="BO62" i="28"/>
  <c r="BN62" i="28"/>
  <c r="BM62" i="28"/>
  <c r="BU61" i="28" l="1"/>
  <c r="BT61" i="28"/>
  <c r="BS61" i="28"/>
  <c r="BR61" i="28"/>
  <c r="BQ61" i="28"/>
  <c r="BP61" i="28"/>
  <c r="BO61" i="28"/>
  <c r="BN61" i="28"/>
  <c r="BM61" i="28"/>
  <c r="BM59" i="28"/>
  <c r="BM58" i="28"/>
  <c r="BM57" i="28"/>
  <c r="BM56" i="28"/>
  <c r="BM55" i="28"/>
  <c r="BU55" i="28"/>
  <c r="BT55" i="28"/>
  <c r="BS55" i="28"/>
  <c r="BR55" i="28"/>
  <c r="BQ56" i="28"/>
  <c r="BQ55" i="28"/>
  <c r="BO56" i="28"/>
  <c r="BO55" i="28"/>
  <c r="BN55" i="28"/>
  <c r="BU54" i="28"/>
  <c r="BT54" i="28"/>
  <c r="BS54" i="28"/>
  <c r="BR54" i="28"/>
  <c r="BQ54" i="28"/>
  <c r="BP54" i="28"/>
  <c r="BO54" i="28"/>
  <c r="BN54" i="28"/>
  <c r="BM54" i="28"/>
  <c r="BM47" i="28"/>
  <c r="BU48" i="28"/>
  <c r="BS48" i="28"/>
  <c r="BP48" i="28"/>
  <c r="BO49" i="28"/>
  <c r="BO48" i="28"/>
  <c r="BN48" i="28"/>
  <c r="BM52" i="28"/>
  <c r="BM51" i="28"/>
  <c r="BM50" i="28"/>
  <c r="BM49" i="28"/>
  <c r="BM48" i="28"/>
  <c r="BU47" i="28"/>
  <c r="BT47" i="28"/>
  <c r="BS47" i="28"/>
  <c r="BR47" i="28"/>
  <c r="BQ47" i="28"/>
  <c r="BP47" i="28"/>
  <c r="BO47" i="28"/>
  <c r="BN47" i="28"/>
  <c r="BM41" i="28"/>
  <c r="BU45" i="28"/>
  <c r="BT45" i="28"/>
  <c r="BR45" i="28"/>
  <c r="BS45" i="28"/>
  <c r="BQ45" i="28"/>
  <c r="BO45" i="28"/>
  <c r="BN45" i="28"/>
  <c r="BM45" i="28"/>
  <c r="BN44" i="28"/>
  <c r="BU44" i="28"/>
  <c r="BT44" i="28"/>
  <c r="BS44" i="28"/>
  <c r="BR44" i="28"/>
  <c r="BQ44" i="28"/>
  <c r="BP44" i="28"/>
  <c r="BO44" i="28"/>
  <c r="BM44" i="28"/>
  <c r="BU41" i="28"/>
  <c r="BT41" i="28"/>
  <c r="BS41" i="28"/>
  <c r="BR41" i="28"/>
  <c r="BQ41" i="28"/>
  <c r="BP41" i="28"/>
  <c r="BO41" i="28"/>
  <c r="BN41" i="28"/>
  <c r="BU42" i="28"/>
  <c r="BS42" i="28"/>
  <c r="BP42" i="28"/>
  <c r="BO42" i="28"/>
  <c r="BN42" i="28"/>
  <c r="BM42" i="28"/>
  <c r="BH39" i="28" l="1"/>
  <c r="BM39" i="28" s="1"/>
  <c r="BS116" i="28" s="1"/>
  <c r="BH38" i="28"/>
  <c r="BM38" i="28" s="1"/>
  <c r="BS115" i="28" s="1"/>
  <c r="BH37" i="28"/>
  <c r="BM37" i="28" s="1"/>
  <c r="BS114" i="28" s="1"/>
  <c r="BH36" i="28"/>
  <c r="BM36" i="28" s="1"/>
  <c r="BS113" i="28" s="1"/>
  <c r="BH24" i="28"/>
  <c r="BM28" i="28" l="1"/>
  <c r="BT35" i="28"/>
  <c r="BQ35" i="28"/>
  <c r="BO35" i="28"/>
  <c r="BS35" i="28"/>
  <c r="BU35" i="28"/>
  <c r="BM35" i="28"/>
  <c r="BP35" i="28"/>
  <c r="BR35" i="28"/>
  <c r="CO17" i="28" l="1"/>
  <c r="CR17" i="28"/>
  <c r="CQ17" i="28"/>
  <c r="CP17" i="28"/>
  <c r="CQ16" i="28"/>
  <c r="CP16" i="28"/>
  <c r="CO16" i="28"/>
  <c r="CR16" i="28"/>
  <c r="BM13" i="28"/>
  <c r="BM12" i="28"/>
  <c r="BM11" i="28"/>
  <c r="BM10" i="28"/>
  <c r="BM8" i="28"/>
  <c r="BM7" i="28"/>
  <c r="BM6" i="28"/>
  <c r="BM5" i="28"/>
  <c r="BL9" i="28" l="1"/>
  <c r="BL8" i="28"/>
  <c r="BL13" i="28"/>
  <c r="BL12" i="28"/>
  <c r="BL11" i="28"/>
  <c r="BL10" i="28"/>
  <c r="BL7" i="28"/>
  <c r="BL6" i="28"/>
  <c r="CB9" i="28"/>
  <c r="CB8" i="28"/>
  <c r="BX11" i="28"/>
  <c r="BX10" i="28"/>
  <c r="BW11" i="28"/>
  <c r="BW10" i="28"/>
  <c r="BP11" i="28"/>
  <c r="BP10" i="28"/>
  <c r="BQ11" i="28"/>
  <c r="BQ10" i="28"/>
  <c r="BI13" i="28" l="1"/>
  <c r="BM26" i="28" s="1"/>
  <c r="BI12" i="28"/>
  <c r="BM25" i="28" s="1"/>
  <c r="BI10" i="28"/>
  <c r="BM23" i="28" s="1"/>
  <c r="BI11" i="28"/>
  <c r="BM24" i="28" s="1"/>
  <c r="BI8" i="28"/>
  <c r="BM21" i="28" s="1"/>
  <c r="BI9" i="28"/>
  <c r="BM22" i="28" s="1"/>
  <c r="BZ12" i="28"/>
  <c r="CA11" i="28"/>
  <c r="BZ11" i="28"/>
  <c r="CA9" i="28"/>
  <c r="BZ9" i="28"/>
  <c r="CA8" i="28"/>
  <c r="BZ8" i="28"/>
  <c r="BW13" i="28"/>
  <c r="BW12" i="28"/>
  <c r="BX8" i="28"/>
  <c r="BW8" i="28"/>
  <c r="BX7" i="28"/>
  <c r="BW7" i="28"/>
  <c r="BX6" i="28"/>
  <c r="BW5" i="28"/>
  <c r="BP13" i="28"/>
  <c r="BP12" i="28"/>
  <c r="BQ8" i="28"/>
  <c r="BP8" i="28"/>
  <c r="BQ7" i="28"/>
  <c r="BP7" i="28"/>
  <c r="BQ6" i="28"/>
  <c r="BP5" i="28"/>
  <c r="BE46" i="28" l="1"/>
  <c r="BD46" i="28"/>
  <c r="BS23" i="28"/>
  <c r="BG46" i="28"/>
  <c r="BF46" i="28"/>
  <c r="CD5" i="28"/>
  <c r="BO13" i="28"/>
  <c r="BO12" i="28"/>
  <c r="BH46" i="28" l="1"/>
  <c r="CO4" i="28"/>
  <c r="CQ4" i="28"/>
  <c r="CR4" i="28"/>
  <c r="CR14" i="28"/>
  <c r="CQ14" i="28"/>
  <c r="CP14" i="28"/>
  <c r="CO14" i="28"/>
  <c r="CS14" i="28" s="1"/>
  <c r="B14" i="28" s="1"/>
  <c r="BG5" i="28"/>
  <c r="BF5" i="28"/>
  <c r="BE5" i="28"/>
  <c r="CR29" i="28" l="1"/>
  <c r="CP20" i="28"/>
  <c r="CR27" i="28"/>
  <c r="CO20" i="28"/>
  <c r="CR25" i="28"/>
  <c r="CR19" i="28"/>
  <c r="CQ29" i="28"/>
  <c r="CQ19" i="28"/>
  <c r="CQ27" i="28"/>
  <c r="CP19" i="28"/>
  <c r="CQ25" i="28"/>
  <c r="CO19" i="28"/>
  <c r="CP29" i="28"/>
  <c r="CP27" i="28"/>
  <c r="CP25" i="28"/>
  <c r="CO29" i="28"/>
  <c r="CO27" i="28"/>
  <c r="CO25" i="28"/>
  <c r="CR20" i="28"/>
  <c r="CQ20" i="28"/>
  <c r="CQ81" i="28"/>
  <c r="CP81" i="28"/>
  <c r="CO81" i="28"/>
  <c r="CR81" i="28"/>
  <c r="CQ55" i="28"/>
  <c r="CR65" i="28" s="1"/>
  <c r="CH6" i="28"/>
  <c r="CG6" i="28"/>
  <c r="CF6" i="28"/>
  <c r="CE6" i="28"/>
  <c r="CD81" i="28"/>
  <c r="CD80" i="28"/>
  <c r="CS29" i="28" l="1"/>
  <c r="CW64" i="28"/>
  <c r="CP51" i="28" l="1"/>
  <c r="CO63" i="28" s="1"/>
  <c r="AO10" i="28"/>
  <c r="BQ14" i="28"/>
  <c r="BN35" i="28"/>
  <c r="BS112" i="28" s="1"/>
  <c r="BH23" i="28"/>
  <c r="CA114" i="28"/>
  <c r="BM113" i="28" l="1"/>
  <c r="BM112" i="28"/>
  <c r="BN112" i="28" s="1"/>
  <c r="BM66" i="28"/>
  <c r="BO66" i="28" s="1" a="1"/>
  <c r="BO66" i="28" s="1"/>
  <c r="BM92" i="28"/>
  <c r="BO19" i="28"/>
  <c r="BM93" i="28"/>
  <c r="BO26" i="28"/>
  <c r="BO25" i="28"/>
  <c r="BO18" i="28"/>
  <c r="CR32" i="28"/>
  <c r="CQ32" i="28"/>
  <c r="CP32" i="28"/>
  <c r="CO32" i="28"/>
  <c r="BS93" i="28" l="1"/>
  <c r="BU93" i="28" s="1"/>
  <c r="BN93" i="28"/>
  <c r="BO93" i="28" s="1"/>
  <c r="BP93" i="28" s="1"/>
  <c r="BS92" i="28"/>
  <c r="BN92" i="28"/>
  <c r="CO56" i="28"/>
  <c r="BS10" i="28"/>
  <c r="CO55" i="28"/>
  <c r="AZ17" i="28"/>
  <c r="AZ18" i="28"/>
  <c r="AP22" i="28" s="1"/>
  <c r="AP24" i="28" s="1"/>
  <c r="AP26" i="28" s="1"/>
  <c r="AZ19" i="28"/>
  <c r="AZ20" i="28"/>
  <c r="AP28" i="28" s="1"/>
  <c r="AP30" i="28" s="1"/>
  <c r="AP32" i="28" s="1"/>
  <c r="AZ21" i="28"/>
  <c r="AZ22" i="28"/>
  <c r="AP34" i="28" s="1"/>
  <c r="AP36" i="28" s="1"/>
  <c r="AZ23" i="28"/>
  <c r="AS23" i="28" s="1"/>
  <c r="AS32" i="28" s="1"/>
  <c r="AZ24" i="28"/>
  <c r="AS24" i="28" s="1"/>
  <c r="AS33" i="28" s="1"/>
  <c r="AZ25" i="28"/>
  <c r="AZ26" i="28"/>
  <c r="AS26" i="28" s="1"/>
  <c r="AS35" i="28" s="1"/>
  <c r="AZ27" i="28"/>
  <c r="AS27" i="28" s="1"/>
  <c r="AS36" i="28" s="1"/>
  <c r="AZ28" i="28"/>
  <c r="AS28" i="28" s="1"/>
  <c r="AS37" i="28" s="1"/>
  <c r="AZ29" i="28"/>
  <c r="AZ30" i="28"/>
  <c r="AS30" i="28" s="1"/>
  <c r="AZ31" i="28"/>
  <c r="AS31" i="28" s="1"/>
  <c r="AZ32" i="28"/>
  <c r="AZ33" i="28"/>
  <c r="AZ34" i="28"/>
  <c r="AZ35" i="28"/>
  <c r="AZ36" i="28"/>
  <c r="AZ37" i="28"/>
  <c r="BR92" i="28" l="1"/>
  <c r="BQ92" i="28"/>
  <c r="BO92" i="28"/>
  <c r="BU92" i="28"/>
  <c r="BT92" i="28"/>
  <c r="AP21" i="28"/>
  <c r="AP23" i="28" s="1"/>
  <c r="AP25" i="28" s="1"/>
  <c r="AP33" i="28"/>
  <c r="AP35" i="28" s="1"/>
  <c r="AP37" i="28" s="1"/>
  <c r="AS25" i="28"/>
  <c r="AS34" i="28" s="1"/>
  <c r="AS29" i="28"/>
  <c r="AP27" i="28"/>
  <c r="AP29" i="28" s="1"/>
  <c r="AP31" i="28" s="1"/>
  <c r="CC91" i="28"/>
  <c r="CC100" i="28" s="1"/>
  <c r="CD100" i="28" s="1"/>
  <c r="CC93" i="28"/>
  <c r="CC102" i="28" s="1"/>
  <c r="CD102" i="28" s="1"/>
  <c r="CC95" i="28"/>
  <c r="CC96" i="28"/>
  <c r="CC105" i="28" s="1"/>
  <c r="CD105" i="28" s="1"/>
  <c r="CC98" i="28"/>
  <c r="CC99" i="28"/>
  <c r="CC108" i="28" s="1"/>
  <c r="CD108" i="28" s="1"/>
  <c r="CD91" i="28"/>
  <c r="CD74" i="28"/>
  <c r="CC74" i="28"/>
  <c r="CC83" i="28" s="1"/>
  <c r="CD83" i="28" s="1"/>
  <c r="CD93" i="28"/>
  <c r="CD95" i="28"/>
  <c r="CD78" i="28"/>
  <c r="CD96" i="28"/>
  <c r="CC78" i="28"/>
  <c r="CC87" i="28" s="1"/>
  <c r="CD87" i="28" s="1"/>
  <c r="CD98" i="28"/>
  <c r="CD99" i="28"/>
  <c r="CC81" i="28"/>
  <c r="CC90" i="28" s="1"/>
  <c r="CD90" i="28" s="1"/>
  <c r="CB78" i="28"/>
  <c r="CB87" i="28" s="1"/>
  <c r="CB96" i="28" s="1"/>
  <c r="CB105" i="28" s="1"/>
  <c r="CB81" i="28"/>
  <c r="CB90" i="28" s="1"/>
  <c r="CB99" i="28" s="1"/>
  <c r="CB108" i="28" s="1"/>
  <c r="CQ54" i="28"/>
  <c r="CR64" i="28" s="1"/>
  <c r="CQ57" i="28"/>
  <c r="CQ58" i="28"/>
  <c r="CQ51" i="28"/>
  <c r="CP52" i="28"/>
  <c r="CP54" i="28"/>
  <c r="CR63" i="28" s="1"/>
  <c r="CP55" i="28"/>
  <c r="CS63" i="28" s="1"/>
  <c r="CP56" i="28"/>
  <c r="CT63" i="28" s="1"/>
  <c r="CP57" i="28"/>
  <c r="CU63" i="28" s="1"/>
  <c r="CP58" i="28"/>
  <c r="CV63" i="28" s="1"/>
  <c r="CP59" i="28"/>
  <c r="CW63" i="28" s="1"/>
  <c r="CA4" i="28"/>
  <c r="BZ4" i="28"/>
  <c r="BP4" i="28"/>
  <c r="CC80" i="28"/>
  <c r="CC89" i="28" s="1"/>
  <c r="CD89" i="28" s="1"/>
  <c r="CC97" i="28"/>
  <c r="CC106" i="28" s="1"/>
  <c r="CD106" i="28" s="1"/>
  <c r="CC79" i="28"/>
  <c r="CC88" i="28" s="1"/>
  <c r="CD88" i="28" s="1"/>
  <c r="CC77" i="28"/>
  <c r="CC94" i="28"/>
  <c r="CC103" i="28" s="1"/>
  <c r="CD103" i="28" s="1"/>
  <c r="CC76" i="28"/>
  <c r="CC85" i="28" s="1"/>
  <c r="CD85" i="28" s="1"/>
  <c r="CC75" i="28"/>
  <c r="CC84" i="28" s="1"/>
  <c r="CD84" i="28" s="1"/>
  <c r="CC92" i="28"/>
  <c r="CC101" i="28" s="1"/>
  <c r="CD101" i="28" s="1"/>
  <c r="CC73" i="28"/>
  <c r="CC82" i="28" s="1"/>
  <c r="CD82" i="28" s="1"/>
  <c r="CD97" i="28"/>
  <c r="CD79" i="28"/>
  <c r="CD77" i="28"/>
  <c r="CD94" i="28"/>
  <c r="CD76" i="28"/>
  <c r="CD75" i="28"/>
  <c r="CD92" i="28"/>
  <c r="CD73" i="28"/>
  <c r="BQ4" i="28"/>
  <c r="AZ49" i="28"/>
  <c r="AS85" i="28" s="1"/>
  <c r="AS94" i="28" s="1"/>
  <c r="AS103" i="28" s="1"/>
  <c r="AZ58" i="28"/>
  <c r="AS112" i="28" s="1"/>
  <c r="AS121" i="28" s="1"/>
  <c r="AS130" i="28" s="1"/>
  <c r="AZ40" i="28"/>
  <c r="AS58" i="28" s="1"/>
  <c r="AS67" i="28" s="1"/>
  <c r="AS76" i="28" s="1"/>
  <c r="AS40" i="28"/>
  <c r="AS49" i="28" s="1"/>
  <c r="BI7" i="28"/>
  <c r="BM20" i="28" s="1"/>
  <c r="BI6" i="28"/>
  <c r="BM19" i="28" s="1"/>
  <c r="CB80" i="28"/>
  <c r="CB89" i="28" s="1"/>
  <c r="CB98" i="28" s="1"/>
  <c r="CB107" i="28" s="1"/>
  <c r="CB79" i="28"/>
  <c r="CB88" i="28" s="1"/>
  <c r="CB97" i="28" s="1"/>
  <c r="CB106" i="28" s="1"/>
  <c r="CB77" i="28"/>
  <c r="CB76" i="28"/>
  <c r="CB85" i="28" s="1"/>
  <c r="CB94" i="28" s="1"/>
  <c r="CB103" i="28" s="1"/>
  <c r="CB75" i="28"/>
  <c r="CB84" i="28" s="1"/>
  <c r="CB93" i="28" s="1"/>
  <c r="CB102" i="28" s="1"/>
  <c r="CB74" i="28"/>
  <c r="CB83" i="28" s="1"/>
  <c r="CB92" i="28" s="1"/>
  <c r="CB101" i="28" s="1"/>
  <c r="CB73" i="28"/>
  <c r="CB82" i="28" s="1"/>
  <c r="CB91" i="28" s="1"/>
  <c r="CB100" i="28" s="1"/>
  <c r="CC104" i="28" l="1"/>
  <c r="CD104" i="28" s="1"/>
  <c r="CB86" i="28"/>
  <c r="CB95" i="28" s="1"/>
  <c r="CB104" i="28" s="1"/>
  <c r="CC107" i="28"/>
  <c r="CD107" i="28" s="1"/>
  <c r="BY6" i="28"/>
  <c r="BS6" i="28"/>
  <c r="CO52" i="28"/>
  <c r="CP62" i="28" s="1"/>
  <c r="CC86" i="28"/>
  <c r="CD86" i="28" s="1"/>
  <c r="BY7" i="28"/>
  <c r="BS7" i="28"/>
  <c r="CO53" i="28"/>
  <c r="CQ62" i="28" s="1"/>
  <c r="BY12" i="28"/>
  <c r="BS12" i="28"/>
  <c r="BY13" i="28"/>
  <c r="BS13" i="28"/>
  <c r="BY8" i="28"/>
  <c r="CA86" i="28"/>
  <c r="BS8" i="28"/>
  <c r="CA104" i="28"/>
  <c r="CO54" i="28"/>
  <c r="CR62" i="28" s="1"/>
  <c r="CO59" i="28"/>
  <c r="CW62" i="28" s="1"/>
  <c r="CJ80" i="28"/>
  <c r="CO58" i="28"/>
  <c r="CV62" i="28" s="1"/>
  <c r="CJ79" i="28"/>
  <c r="CK73" i="28"/>
  <c r="CJ74" i="28"/>
  <c r="CK77" i="28" s="1"/>
  <c r="CJ75" i="28"/>
  <c r="CP63" i="28"/>
  <c r="CU64" i="28"/>
  <c r="CO64" i="28"/>
  <c r="CV64" i="28"/>
  <c r="CA85" i="28"/>
  <c r="CA89" i="28"/>
  <c r="CA99" i="28"/>
  <c r="CA108" i="28"/>
  <c r="CA76" i="28"/>
  <c r="CA107" i="28"/>
  <c r="CA83" i="28"/>
  <c r="CA74" i="28"/>
  <c r="CA90" i="28"/>
  <c r="CA94" i="28"/>
  <c r="CA81" i="28"/>
  <c r="CA80" i="28"/>
  <c r="CA92" i="28"/>
  <c r="CA103" i="28"/>
  <c r="CA102" i="28"/>
  <c r="CA84" i="28"/>
  <c r="CA98" i="28"/>
  <c r="CA101" i="28"/>
  <c r="CK74" i="28" l="1"/>
  <c r="BJ8" i="28"/>
  <c r="BJ7" i="28"/>
  <c r="BJ6" i="28"/>
  <c r="AZ47" i="28"/>
  <c r="BL5" i="28"/>
  <c r="AZ7" i="28"/>
  <c r="AZ6" i="28"/>
  <c r="AZ5" i="28"/>
  <c r="AZ4" i="28"/>
  <c r="BG4" i="28"/>
  <c r="BF4" i="28"/>
  <c r="BE4" i="28"/>
  <c r="BD4" i="28"/>
  <c r="BL14" i="28" l="1"/>
  <c r="BL15" i="28" s="1"/>
  <c r="BM14" i="28"/>
  <c r="BI5" i="28"/>
  <c r="BM65" i="28" s="1"/>
  <c r="BO65" i="28" s="1" a="1"/>
  <c r="BO65" i="28" s="1"/>
  <c r="BM100" i="28" s="1"/>
  <c r="BN100" i="28" s="1"/>
  <c r="BS5" i="28"/>
  <c r="CO51" i="28"/>
  <c r="CA79" i="28"/>
  <c r="BS11" i="28"/>
  <c r="BA20" i="28"/>
  <c r="BA19" i="28"/>
  <c r="CJ77" i="28"/>
  <c r="CK75" i="28" s="1"/>
  <c r="BY10" i="28"/>
  <c r="CJ78" i="28"/>
  <c r="CK76" i="28" s="1"/>
  <c r="BY11" i="28"/>
  <c r="BA22" i="28"/>
  <c r="BA21" i="28"/>
  <c r="CJ76" i="28"/>
  <c r="CJ73" i="28"/>
  <c r="BY5" i="28"/>
  <c r="BA24" i="28"/>
  <c r="BA28" i="28"/>
  <c r="BA26" i="28"/>
  <c r="BA23" i="28"/>
  <c r="BA25" i="28"/>
  <c r="BA27" i="28"/>
  <c r="BA29" i="28"/>
  <c r="BA30" i="28"/>
  <c r="BA37" i="28"/>
  <c r="AY37" i="28" s="1"/>
  <c r="BA17" i="28"/>
  <c r="BA35" i="28"/>
  <c r="AY35" i="28" s="1"/>
  <c r="BA32" i="28"/>
  <c r="AY32" i="28" s="1"/>
  <c r="BA34" i="28"/>
  <c r="AY34" i="28" s="1"/>
  <c r="BA18" i="28"/>
  <c r="BA33" i="28"/>
  <c r="AY33" i="28" s="1"/>
  <c r="BA36" i="28"/>
  <c r="AY36" i="28" s="1"/>
  <c r="CA77" i="28"/>
  <c r="CA95" i="28"/>
  <c r="CA78" i="28"/>
  <c r="CA87" i="28"/>
  <c r="CA105" i="28"/>
  <c r="CA96" i="28"/>
  <c r="CO57" i="28"/>
  <c r="CA106" i="28"/>
  <c r="CA97" i="28"/>
  <c r="CA88" i="28"/>
  <c r="CA100" i="28"/>
  <c r="CA82" i="28"/>
  <c r="CA91" i="28"/>
  <c r="CA73" i="28"/>
  <c r="AZ51" i="28"/>
  <c r="AS105" i="28" s="1"/>
  <c r="AS114" i="28" s="1"/>
  <c r="AS123" i="28" s="1"/>
  <c r="AZ52" i="28"/>
  <c r="AZ53" i="28"/>
  <c r="AS107" i="28" s="1"/>
  <c r="AS116" i="28" s="1"/>
  <c r="AS125" i="28" s="1"/>
  <c r="AZ54" i="28"/>
  <c r="AS108" i="28" s="1"/>
  <c r="AS117" i="28" s="1"/>
  <c r="AS126" i="28" s="1"/>
  <c r="AZ55" i="28"/>
  <c r="AS109" i="28" s="1"/>
  <c r="AS118" i="28" s="1"/>
  <c r="AS127" i="28" s="1"/>
  <c r="AZ56" i="28"/>
  <c r="AS110" i="28" s="1"/>
  <c r="AS119" i="28" s="1"/>
  <c r="AS128" i="28" s="1"/>
  <c r="AZ57" i="28"/>
  <c r="AS111" i="28" s="1"/>
  <c r="AS120" i="28" s="1"/>
  <c r="AS129" i="28" s="1"/>
  <c r="AZ50" i="28"/>
  <c r="AS104" i="28" s="1"/>
  <c r="AS113" i="28" s="1"/>
  <c r="AS122" i="28" s="1"/>
  <c r="AZ42" i="28"/>
  <c r="AS78" i="28" s="1"/>
  <c r="AS87" i="28" s="1"/>
  <c r="AS96" i="28" s="1"/>
  <c r="AZ43" i="28"/>
  <c r="AZ44" i="28"/>
  <c r="AS80" i="28" s="1"/>
  <c r="AS89" i="28" s="1"/>
  <c r="AS98" i="28" s="1"/>
  <c r="AZ45" i="28"/>
  <c r="AS81" i="28" s="1"/>
  <c r="AS90" i="28" s="1"/>
  <c r="AS99" i="28" s="1"/>
  <c r="AZ46" i="28"/>
  <c r="AS82" i="28" s="1"/>
  <c r="AS91" i="28" s="1"/>
  <c r="AS100" i="28" s="1"/>
  <c r="AS83" i="28"/>
  <c r="AS92" i="28" s="1"/>
  <c r="AS101" i="28" s="1"/>
  <c r="AZ48" i="28"/>
  <c r="AS84" i="28" s="1"/>
  <c r="AS93" i="28" s="1"/>
  <c r="AS102" i="28" s="1"/>
  <c r="AZ41" i="28"/>
  <c r="AS77" i="28" s="1"/>
  <c r="AS86" i="28" s="1"/>
  <c r="AS95" i="28" s="1"/>
  <c r="AS51" i="28"/>
  <c r="AS60" i="28" s="1"/>
  <c r="AS69" i="28" s="1"/>
  <c r="AS54" i="28"/>
  <c r="AS63" i="28" s="1"/>
  <c r="AS72" i="28" s="1"/>
  <c r="AS55" i="28"/>
  <c r="AS64" i="28" s="1"/>
  <c r="AS73" i="28" s="1"/>
  <c r="AZ38" i="28"/>
  <c r="AS56" i="28" s="1"/>
  <c r="AS65" i="28" s="1"/>
  <c r="AS74" i="28" s="1"/>
  <c r="AZ39" i="28"/>
  <c r="AS57" i="28" s="1"/>
  <c r="AS66" i="28" s="1"/>
  <c r="AS75" i="28" s="1"/>
  <c r="AS50" i="28"/>
  <c r="AS59" i="28" s="1"/>
  <c r="AS68" i="28" s="1"/>
  <c r="AS42" i="28"/>
  <c r="AS45" i="28"/>
  <c r="AS46" i="28"/>
  <c r="AZ16" i="28"/>
  <c r="AZ15" i="28"/>
  <c r="BA57" i="28"/>
  <c r="BA58" i="28" s="1"/>
  <c r="BA56" i="28"/>
  <c r="BA55" i="28"/>
  <c r="BA54" i="28"/>
  <c r="BA53" i="28"/>
  <c r="BA52" i="28"/>
  <c r="BA51" i="28"/>
  <c r="BA50" i="28"/>
  <c r="BA48" i="28"/>
  <c r="BA47" i="28"/>
  <c r="AY47" i="28" s="1"/>
  <c r="BA46" i="28"/>
  <c r="BA45" i="28"/>
  <c r="BA44" i="28"/>
  <c r="BA43" i="28"/>
  <c r="BA42" i="28"/>
  <c r="BA41" i="28"/>
  <c r="BA39" i="28"/>
  <c r="BA38" i="28"/>
  <c r="AR56" i="28" s="1"/>
  <c r="BA16" i="28"/>
  <c r="BA15" i="28"/>
  <c r="BM18" i="28" l="1"/>
  <c r="BN28" i="28" s="1"/>
  <c r="BM96" i="28" s="1"/>
  <c r="BN96" i="28" s="1"/>
  <c r="BR6" i="28"/>
  <c r="BR5" i="28"/>
  <c r="BN16" i="28" s="1"/>
  <c r="BS2" i="28"/>
  <c r="AY26" i="28"/>
  <c r="AR35" i="28"/>
  <c r="AR26" i="28"/>
  <c r="AO19" i="28"/>
  <c r="AO17" i="28"/>
  <c r="AR29" i="28"/>
  <c r="AY29" i="28"/>
  <c r="AY50" i="28"/>
  <c r="AY18" i="28"/>
  <c r="AO42" i="28" s="1"/>
  <c r="AO22" i="28"/>
  <c r="AO24" i="28"/>
  <c r="AO26" i="28"/>
  <c r="AY27" i="28"/>
  <c r="AR27" i="28"/>
  <c r="AR36" i="28"/>
  <c r="AO27" i="28"/>
  <c r="AO29" i="28"/>
  <c r="AO31" i="28"/>
  <c r="AY19" i="28"/>
  <c r="AO43" i="28" s="1"/>
  <c r="AR34" i="28"/>
  <c r="AY25" i="28"/>
  <c r="AR25" i="28"/>
  <c r="AO32" i="28"/>
  <c r="AO28" i="28"/>
  <c r="AO30" i="28"/>
  <c r="AY20" i="28"/>
  <c r="AO44" i="28" s="1"/>
  <c r="AR23" i="28"/>
  <c r="AY23" i="28"/>
  <c r="AR32" i="28"/>
  <c r="AY21" i="28"/>
  <c r="AO45" i="28" s="1"/>
  <c r="AO33" i="28"/>
  <c r="AO35" i="28"/>
  <c r="AO37" i="28"/>
  <c r="AY22" i="28"/>
  <c r="AO46" i="28" s="1"/>
  <c r="AO36" i="28"/>
  <c r="AO34" i="28"/>
  <c r="AY17" i="28"/>
  <c r="AO41" i="28" s="1"/>
  <c r="AO25" i="28"/>
  <c r="AO21" i="28"/>
  <c r="AO23" i="28"/>
  <c r="AR37" i="28"/>
  <c r="AY28" i="28"/>
  <c r="AR28" i="28"/>
  <c r="AO18" i="28"/>
  <c r="AO20" i="28"/>
  <c r="AR33" i="28"/>
  <c r="AY24" i="28"/>
  <c r="AR24" i="28"/>
  <c r="AR30" i="28"/>
  <c r="BA31" i="28"/>
  <c r="AY30" i="28"/>
  <c r="CO62" i="28"/>
  <c r="CU62" i="28"/>
  <c r="CT62" i="28"/>
  <c r="CS62" i="28"/>
  <c r="AR55" i="28"/>
  <c r="AY51" i="28"/>
  <c r="AR46" i="28"/>
  <c r="AR48" i="28"/>
  <c r="AR39" i="28"/>
  <c r="AR54" i="28"/>
  <c r="AY43" i="28"/>
  <c r="AR44" i="28"/>
  <c r="AR59" i="28"/>
  <c r="AR50" i="28"/>
  <c r="AR51" i="28"/>
  <c r="AR60" i="28"/>
  <c r="AR52" i="28"/>
  <c r="AR47" i="28"/>
  <c r="AR38" i="28"/>
  <c r="AY42" i="28"/>
  <c r="AR96" i="28"/>
  <c r="AY58" i="28"/>
  <c r="AR112" i="28"/>
  <c r="AR130" i="28"/>
  <c r="AR121" i="28"/>
  <c r="AR42" i="28"/>
  <c r="AS38" i="28"/>
  <c r="AS47" i="28" s="1"/>
  <c r="AR45" i="28"/>
  <c r="AY48" i="28"/>
  <c r="BA49" i="28"/>
  <c r="AR53" i="28"/>
  <c r="AR41" i="28"/>
  <c r="AY44" i="28"/>
  <c r="AS39" i="28"/>
  <c r="AS48" i="28" s="1"/>
  <c r="AR43" i="28"/>
  <c r="BA40" i="28"/>
  <c r="AR57" i="28"/>
  <c r="AY46" i="28"/>
  <c r="AY45" i="28"/>
  <c r="AP44" i="28"/>
  <c r="AP41" i="28"/>
  <c r="AP42" i="28"/>
  <c r="AP43" i="28"/>
  <c r="AY41" i="28"/>
  <c r="AP45" i="28"/>
  <c r="AP38" i="28"/>
  <c r="AP46" i="28"/>
  <c r="AP15" i="28"/>
  <c r="AP17" i="28" s="1"/>
  <c r="AP19" i="28" s="1"/>
  <c r="AP39" i="28"/>
  <c r="AP16" i="28"/>
  <c r="AP18" i="28" s="1"/>
  <c r="AP20" i="28" s="1"/>
  <c r="AP40" i="28"/>
  <c r="AS41" i="28"/>
  <c r="AY56" i="28"/>
  <c r="AY54" i="28"/>
  <c r="AY38" i="28"/>
  <c r="AR122" i="28"/>
  <c r="AO38" i="28"/>
  <c r="AR83" i="28"/>
  <c r="AY57" i="28"/>
  <c r="AO16" i="28"/>
  <c r="AR105" i="28"/>
  <c r="AR104" i="28"/>
  <c r="AR113" i="28"/>
  <c r="AR82" i="28"/>
  <c r="AR69" i="28"/>
  <c r="AR102" i="28"/>
  <c r="AR109" i="28"/>
  <c r="AR80" i="28"/>
  <c r="AR89" i="28"/>
  <c r="AR73" i="28"/>
  <c r="AR68" i="28"/>
  <c r="AR86" i="28"/>
  <c r="AR106" i="28"/>
  <c r="AR115" i="28"/>
  <c r="AR75" i="28"/>
  <c r="AR64" i="28"/>
  <c r="AR79" i="28"/>
  <c r="AR66" i="28"/>
  <c r="AR126" i="28"/>
  <c r="AR101" i="28"/>
  <c r="AR117" i="28"/>
  <c r="AS43" i="28"/>
  <c r="AS52" i="28"/>
  <c r="AS61" i="28" s="1"/>
  <c r="AS70" i="28" s="1"/>
  <c r="AS79" i="28"/>
  <c r="AS88" i="28" s="1"/>
  <c r="AS97" i="28" s="1"/>
  <c r="AS106" i="28"/>
  <c r="AS115" i="28" s="1"/>
  <c r="AS124" i="28" s="1"/>
  <c r="AO15" i="28"/>
  <c r="AR108" i="28"/>
  <c r="AS44" i="28"/>
  <c r="AS53" i="28"/>
  <c r="AS62" i="28" s="1"/>
  <c r="AS71" i="28" s="1"/>
  <c r="AR116" i="28"/>
  <c r="AR95" i="28"/>
  <c r="AR91" i="28"/>
  <c r="AR78" i="28"/>
  <c r="AR93" i="28"/>
  <c r="AR128" i="28"/>
  <c r="AR124" i="28"/>
  <c r="AR87" i="28"/>
  <c r="AR84" i="28"/>
  <c r="AR99" i="28"/>
  <c r="AR62" i="28"/>
  <c r="AR97" i="28"/>
  <c r="AY16" i="28"/>
  <c r="AO40" i="28" s="1"/>
  <c r="AR129" i="28"/>
  <c r="AR92" i="28"/>
  <c r="AR127" i="28"/>
  <c r="AR90" i="28"/>
  <c r="AR125" i="28"/>
  <c r="AR88" i="28"/>
  <c r="AR123" i="28"/>
  <c r="AY52" i="28"/>
  <c r="AR120" i="28"/>
  <c r="AR118" i="28"/>
  <c r="AR81" i="28"/>
  <c r="AR114" i="28"/>
  <c r="AR119" i="28"/>
  <c r="AR110" i="28"/>
  <c r="AY53" i="28"/>
  <c r="AR77" i="28"/>
  <c r="AR111" i="28"/>
  <c r="AR74" i="28"/>
  <c r="AR72" i="28"/>
  <c r="AR107" i="28"/>
  <c r="AR70" i="28"/>
  <c r="AR71" i="28"/>
  <c r="AR65" i="28"/>
  <c r="AR100" i="28"/>
  <c r="AR63" i="28"/>
  <c r="AR98" i="28"/>
  <c r="AR61" i="28"/>
  <c r="AY55" i="28"/>
  <c r="AY39" i="28"/>
  <c r="AY15" i="28"/>
  <c r="BD5" i="28"/>
  <c r="BJ5" i="28" s="1"/>
  <c r="B6" i="28" s="1"/>
  <c r="BM88" i="28" l="1"/>
  <c r="BP14" i="28"/>
  <c r="AO9" i="28"/>
  <c r="AP9" i="28" s="1"/>
  <c r="CL5" i="28"/>
  <c r="CL6" i="28"/>
  <c r="BW14" i="28"/>
  <c r="BN14" i="28"/>
  <c r="BN17" i="28" s="1"/>
  <c r="AR31" i="28"/>
  <c r="AY31" i="28"/>
  <c r="AY40" i="28"/>
  <c r="AR76" i="28"/>
  <c r="AR67" i="28"/>
  <c r="AR58" i="28"/>
  <c r="AR40" i="28"/>
  <c r="AR49" i="28"/>
  <c r="AY49" i="28"/>
  <c r="AR103" i="28"/>
  <c r="AR94" i="28"/>
  <c r="AR85" i="28"/>
  <c r="AO39" i="28"/>
  <c r="CP42" i="28"/>
  <c r="CQ42" i="28"/>
  <c r="CR42" i="28"/>
  <c r="BU98" i="28" l="1"/>
  <c r="BM98" i="28"/>
  <c r="BN98" i="28" s="1"/>
  <c r="BL92" i="28" a="1"/>
  <c r="BL92" i="28" s="1"/>
  <c r="BM106" i="28" s="1"/>
  <c r="BM31" i="28"/>
  <c r="BL35" i="28" s="1" a="1"/>
  <c r="BL35" i="28" s="1"/>
  <c r="BM115" i="28" s="1"/>
  <c r="BN115" i="28" s="1"/>
  <c r="CP12" i="28"/>
  <c r="CQ12" i="28"/>
  <c r="CR12" i="28"/>
  <c r="CO12" i="28"/>
  <c r="BN7" i="28"/>
  <c r="CQ63" i="28" s="1"/>
  <c r="CL4" i="28" s="1"/>
  <c r="CR50" i="28"/>
  <c r="CO48" i="28"/>
  <c r="CP50" i="28"/>
  <c r="CR49" i="28"/>
  <c r="CQ48" i="28"/>
  <c r="CO43" i="28"/>
  <c r="CO50" i="28"/>
  <c r="CR37" i="28"/>
  <c r="CR41" i="28"/>
  <c r="CP48" i="28"/>
  <c r="CO49" i="28"/>
  <c r="CO41" i="28"/>
  <c r="CQ50" i="28"/>
  <c r="CP41" i="28"/>
  <c r="CQ49" i="28"/>
  <c r="CR48" i="28"/>
  <c r="CQ41" i="28"/>
  <c r="CP49" i="28"/>
  <c r="AO8" i="28"/>
  <c r="AP8" i="28" s="1"/>
  <c r="CP43" i="28"/>
  <c r="CR43" i="28"/>
  <c r="CQ43" i="28"/>
  <c r="CS19" i="28"/>
  <c r="CX12" i="28"/>
  <c r="CY12" i="28"/>
  <c r="CW12" i="28"/>
  <c r="CZ12" i="28"/>
  <c r="BO5" i="28"/>
  <c r="BO6" i="28"/>
  <c r="BO7" i="28"/>
  <c r="BO8" i="28"/>
  <c r="BO10" i="28"/>
  <c r="BO11" i="28"/>
  <c r="CO42" i="28"/>
  <c r="CR36" i="28"/>
  <c r="CO36" i="28"/>
  <c r="BN104" i="28" l="1"/>
  <c r="BN99" i="28"/>
  <c r="BN106" i="28"/>
  <c r="BO31" i="28" a="1"/>
  <c r="BO31" i="28" s="1"/>
  <c r="BO30" i="28" s="1"/>
  <c r="BQ31" i="28" a="1"/>
  <c r="BQ31" i="28" s="1"/>
  <c r="BQ32" i="28" s="1"/>
  <c r="BN31" i="28" a="1"/>
  <c r="BN31" i="28" s="1"/>
  <c r="BL48" i="28" a="1"/>
  <c r="BL48" i="28" s="1"/>
  <c r="BP30" i="28" s="1"/>
  <c r="DA12" i="28"/>
  <c r="BL55" i="28" a="1"/>
  <c r="BL55" i="28" s="1"/>
  <c r="CR34" i="28"/>
  <c r="CA93" i="28"/>
  <c r="CA75" i="28"/>
  <c r="AO13" i="28"/>
  <c r="AP10" i="28"/>
  <c r="AQ8" i="28" s="1"/>
  <c r="CP53" i="28"/>
  <c r="CS16" i="28"/>
  <c r="B4" i="28"/>
  <c r="CS23" i="28"/>
  <c r="B12" i="28" l="1"/>
  <c r="BN117" i="28" s="1"/>
  <c r="BO32" i="28" a="1"/>
  <c r="BO32" i="28" s="1"/>
  <c r="BM110" i="28" s="1"/>
  <c r="BN110" i="28" s="1"/>
  <c r="BN32" i="28"/>
  <c r="BM109" i="28" s="1"/>
  <c r="BN109" i="28" s="1"/>
  <c r="CD114" i="28"/>
  <c r="CC114" i="28"/>
  <c r="CB114" i="28"/>
  <c r="BX4" i="28"/>
  <c r="BW4" i="28"/>
  <c r="BM4" i="28"/>
  <c r="AO12" i="28" l="1"/>
  <c r="C16" i="28"/>
  <c r="CS17" i="28"/>
  <c r="CQ40" i="28"/>
  <c r="CS22" i="28"/>
  <c r="CR40" i="28"/>
  <c r="CQ34" i="28"/>
  <c r="CO40" i="28"/>
  <c r="CQ35" i="28"/>
  <c r="CP40" i="28"/>
  <c r="CP34" i="28"/>
  <c r="CS25" i="28"/>
  <c r="D23" i="28" l="1"/>
  <c r="B19" i="28"/>
  <c r="B25" i="28" s="1"/>
  <c r="D25" i="28" s="1"/>
  <c r="B22" i="28"/>
  <c r="B17" i="28"/>
  <c r="C20" i="28"/>
  <c r="B23" i="28"/>
  <c r="B16" i="28"/>
  <c r="C17" i="28"/>
  <c r="D16" i="28" s="1"/>
  <c r="D20" i="28" s="1"/>
  <c r="D17" i="28"/>
  <c r="D22" i="28" s="1"/>
  <c r="CP35" i="28"/>
  <c r="CO34" i="28"/>
  <c r="CO35" i="28"/>
  <c r="CR35" i="28"/>
  <c r="C19" i="28" l="1"/>
  <c r="C25" i="28"/>
  <c r="C26" i="28" s="1"/>
  <c r="D19" i="28"/>
  <c r="CS20" i="28"/>
  <c r="B20" i="28" s="1"/>
  <c r="CP38" i="28"/>
  <c r="CQ38" i="28"/>
  <c r="CP37" i="28"/>
  <c r="CQ37" i="28"/>
  <c r="CR45" i="28" l="1"/>
  <c r="CO45" i="28"/>
  <c r="CQ47" i="28"/>
  <c r="CR47" i="28"/>
  <c r="CP45" i="28"/>
  <c r="CQ45" i="28"/>
  <c r="CO47" i="28"/>
  <c r="CP47" i="28"/>
  <c r="CS27" i="28"/>
  <c r="B27" i="28" s="1"/>
  <c r="B29" i="28" s="1"/>
  <c r="CR38" i="28"/>
  <c r="CO37" i="28"/>
  <c r="CO38" i="28"/>
  <c r="CS67" i="28" l="1"/>
  <c r="C27" i="28" l="1"/>
  <c r="C28" i="28" s="1"/>
  <c r="D27" i="28"/>
  <c r="D29" i="28" l="1"/>
  <c r="C29" i="28"/>
  <c r="C30" i="2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<sst xmlns="http://schemas.openxmlformats.org/spreadsheetml/2006/main" count="561" uniqueCount="331">
  <si>
    <t>Colombia</t>
  </si>
  <si>
    <t>Ecuador</t>
  </si>
  <si>
    <t>FOB</t>
  </si>
  <si>
    <t>Nicaragua</t>
  </si>
  <si>
    <t>Panama</t>
  </si>
  <si>
    <t>Peru</t>
  </si>
  <si>
    <t>Dominican Republic</t>
  </si>
  <si>
    <t>Type of banana</t>
  </si>
  <si>
    <t>conventional Fairtrade banana</t>
  </si>
  <si>
    <t>organic Fairtrade banana</t>
  </si>
  <si>
    <t>Fairtrade Minimum Price</t>
  </si>
  <si>
    <t>Special carton box</t>
  </si>
  <si>
    <t>without including</t>
  </si>
  <si>
    <t>Ex Works</t>
  </si>
  <si>
    <t>Price level</t>
  </si>
  <si>
    <t>COUNTRY</t>
  </si>
  <si>
    <t>VAT or w/o VAT</t>
  </si>
  <si>
    <t>Choose banana producer country:</t>
  </si>
  <si>
    <t>Choose type of Fairtrade banana:</t>
  </si>
  <si>
    <t xml:space="preserve"> </t>
  </si>
  <si>
    <t>PLEASE COMPLETE EMPTY CELLS WITH THE INFORMATION OF THE PACKING BOX YOU WANT TO RUN THE PRO-RATA</t>
  </si>
  <si>
    <t>Standard carton box (Fairtrade)</t>
  </si>
  <si>
    <t>Prorate</t>
  </si>
  <si>
    <t>Please NOTE THAT the prorate examples ARE ONLY BASED on the variation of: a) the weight of fruit per box and b) the price of the type of packing box. ADDITIONAL COSTS, or PRICE VARIATIONS OF EXISTING INPUTS, might be also involved; for prorating them the Fairtrade Standards for Fresh Fruits must always apply.</t>
  </si>
  <si>
    <t>Elija el país productor de banano:</t>
  </si>
  <si>
    <t>Elija el tipo de banano Fairtrade:</t>
  </si>
  <si>
    <t>Precio Mínimo Fairtrade</t>
  </si>
  <si>
    <t>Caja de cartón especial</t>
  </si>
  <si>
    <t>Prorrateo</t>
  </si>
  <si>
    <t>Caja de cartón estándar (Fairtrade)</t>
  </si>
  <si>
    <t>Caja IFCO</t>
  </si>
  <si>
    <t>Tenga en cuenta que los ejemplos de prorrateo SE BASAN ÚNICAMENTE en la variación de: a) el peso de la fruta por caja y b) el precio de la caja que depende el material de empaque que tenga la caja. También puede haber costes adicionales o variaciones de precio de los insumos existentes; para prorratearlos deben aplicarse siempre los Criterios de Comercio Justo Fairtrade para Frutas Frescas.</t>
  </si>
  <si>
    <t>sin incluir</t>
  </si>
  <si>
    <t>banano Fairtrade convencional</t>
  </si>
  <si>
    <t>Caja de cartón estándar</t>
  </si>
  <si>
    <t>Panamá</t>
  </si>
  <si>
    <t>Perú</t>
  </si>
  <si>
    <t>República Dominicana</t>
  </si>
  <si>
    <t>Pérou</t>
  </si>
  <si>
    <t>Colombie</t>
  </si>
  <si>
    <t>Équateur</t>
  </si>
  <si>
    <t>République dominicaine</t>
  </si>
  <si>
    <t>Colômbia</t>
  </si>
  <si>
    <t>Equador</t>
  </si>
  <si>
    <t>Nicarágua</t>
  </si>
  <si>
    <t>sem incluir</t>
  </si>
  <si>
    <t>banana convencional de comércio justo</t>
  </si>
  <si>
    <t>banana biológica de comércio justo</t>
  </si>
  <si>
    <t>sans inclure</t>
  </si>
  <si>
    <t>banane conventionnelle du commerce équitable</t>
  </si>
  <si>
    <t>Choisissez le pays producteur de bananes:</t>
  </si>
  <si>
    <t>Choisissez le type de banane du commerce équitable:</t>
  </si>
  <si>
    <t>Escolher país produtor de banana:</t>
  </si>
  <si>
    <t>Escolher o tipo de banana de Comércio Justo:</t>
  </si>
  <si>
    <t>Boîte en carton standard (commerce équitable)</t>
  </si>
  <si>
    <t>Caixa de cartão padrão (Comércio Justo)</t>
  </si>
  <si>
    <t>Preço Mínimo de Comércio Justo</t>
  </si>
  <si>
    <t>Prix minimum du commerce équitable</t>
  </si>
  <si>
    <t>Caixa de cartão especial</t>
  </si>
  <si>
    <t>Rateio</t>
  </si>
  <si>
    <t>Répartition</t>
  </si>
  <si>
    <t>Boîte IFCO</t>
  </si>
  <si>
    <t>Caixa IFCO</t>
  </si>
  <si>
    <t>Veuillez noter que les exemples de prorata sont uniquement basés sur la variation : a) du poids des fruits par boîte et b) du prix du type de boîte d'emballage. Des coûts supplémentaires, ou des variations de prix des entrées existantes, peuvent également être impliqués ; pour les calculer au prorata, les standards du commerce équitable pour les fruits frais doivent toujours s'appliquer.</t>
  </si>
  <si>
    <t>Por favor, note que os exemplos pro rata SÓ se baseiam na variação: a) do peso da fruta por caixa e b) do preço do tipo de caixa de embalagem. CUSTOS ADICIONAIS, ou VARIAÇÕES DE PREÇO DE ENTRADAS EXISTENTES, podem também estar envolvidos; para a sua prorrogação devem aplicar-se sempre as Normas de Comércio Justo para Frutas Frescas.</t>
  </si>
  <si>
    <t>POR FAVOR PREENCHA AS CÉLULAS VAZIAS COM A INFORMAÇÃO DA CAIXA DE EMBALAGEM QUE DESEJA FAZER O CÁLCULO PROPORCIONAL</t>
  </si>
  <si>
    <t>VEUILLEZ REMPLIR LES CELLULES VIDES AVEC LES INFORMATIONS RELATIVES À LA BOÎTE D'EMBALLAGE QUE VOUS SOUHAITEZ UTILISER AU PRORATA</t>
  </si>
  <si>
    <t>organic</t>
  </si>
  <si>
    <t>biologique</t>
  </si>
  <si>
    <t>biológica</t>
  </si>
  <si>
    <t>conventional</t>
  </si>
  <si>
    <t>conventionnelle</t>
  </si>
  <si>
    <t>convencional</t>
  </si>
  <si>
    <t>orgánica</t>
  </si>
  <si>
    <t>Choose language/ Elegir idioma/ Choisir la langue/ Escolher idioma:</t>
  </si>
  <si>
    <t>English</t>
  </si>
  <si>
    <t>Português</t>
  </si>
  <si>
    <t>Français</t>
  </si>
  <si>
    <t>banane biologique du commerce équitable</t>
  </si>
  <si>
    <t>TRUE para ocultar texto,
FALSE para mostrar texto</t>
  </si>
  <si>
    <t>si vemos #N/A, confirma que el idioma elegido y el idioma del nombre país no coinciden.
Si vemos un nombre significa que el idioma elegido y el idioma del nombre país coinciden</t>
  </si>
  <si>
    <t>POR FAVOR, COMPLETE LAS CELDAS VACÍAS CON LA INFORMACIÓN DE LA CAJA DE EMPAQUE PARA LA QUE DESEA HACER EL CÁLCULO DEL PRORRATEO</t>
  </si>
  <si>
    <t>Saint Lucia</t>
  </si>
  <si>
    <t>Sainte-Lucie</t>
  </si>
  <si>
    <t>Santa Lúcia</t>
  </si>
  <si>
    <t>Santa Lucía</t>
  </si>
  <si>
    <t>Ghana</t>
  </si>
  <si>
    <t>Cameroon</t>
  </si>
  <si>
    <t>Camerún</t>
  </si>
  <si>
    <t>Cameroun</t>
  </si>
  <si>
    <t>Camarões</t>
  </si>
  <si>
    <t>Gana</t>
  </si>
  <si>
    <t>EN-FR</t>
  </si>
  <si>
    <t>EN-PT</t>
  </si>
  <si>
    <t>EN</t>
  </si>
  <si>
    <t>EN-SP</t>
  </si>
  <si>
    <t>FR-EN</t>
  </si>
  <si>
    <t>FR</t>
  </si>
  <si>
    <t>FR-PT</t>
  </si>
  <si>
    <t>FR-SP</t>
  </si>
  <si>
    <t>PT-EN</t>
  </si>
  <si>
    <t>PT</t>
  </si>
  <si>
    <t>PT-FR</t>
  </si>
  <si>
    <t>PT-SP</t>
  </si>
  <si>
    <t>SP</t>
  </si>
  <si>
    <t>SP-EN</t>
  </si>
  <si>
    <t>SP-FR</t>
  </si>
  <si>
    <t>SP-PT</t>
  </si>
  <si>
    <t>LA TABLA DE ABAJO NO SIRVE</t>
  </si>
  <si>
    <t>Paita</t>
  </si>
  <si>
    <t>Bolivar</t>
  </si>
  <si>
    <t>Tema</t>
  </si>
  <si>
    <t>Manzanillo</t>
  </si>
  <si>
    <t>Corinto</t>
  </si>
  <si>
    <t>Douala</t>
  </si>
  <si>
    <t>Name of the secondary port</t>
  </si>
  <si>
    <t>Caucedo</t>
  </si>
  <si>
    <t>Puerto:</t>
  </si>
  <si>
    <t>Port:</t>
  </si>
  <si>
    <t>Porto:</t>
  </si>
  <si>
    <t>Caja</t>
  </si>
  <si>
    <t>conv</t>
  </si>
  <si>
    <t>org</t>
  </si>
  <si>
    <t>main port</t>
  </si>
  <si>
    <t>secondary port</t>
  </si>
  <si>
    <t>EXW</t>
  </si>
  <si>
    <t>an8</t>
  </si>
  <si>
    <t>an9</t>
  </si>
  <si>
    <t xml:space="preserve">Please re-enter the name of the banana producer country, the type of banana Fairtrade and the name of the port, according with the chose language  </t>
  </si>
  <si>
    <t xml:space="preserve">Veuillez saisir à nouveau le nom du pays producteur de bananes, le type de banane Fairtrade et le nom du port, en fonction de la langue choisie </t>
  </si>
  <si>
    <t xml:space="preserve">Por favor, re-insira o nome do país produtor da banana, o tipo de banana Fairtrade e o nome do porto, de acordo com a língua escolhida  </t>
  </si>
  <si>
    <t xml:space="preserve">Por favor, ingrese el nombre del país productor de banano, el tipo de banano Fairtrade y el nombre del puerto, de acuerdo con el idioma elegido </t>
  </si>
  <si>
    <t>Costs for the use of IFCO crates for the producer trading at FOB level (From the following list only consider those costs incurred by the producer trading at FOB level: rental of IFCO crates, destocking, customs and clearance, transport of IFCO crates to the farm, re stocking of inventory due to loss or damage of IFCO crates, etc.).</t>
  </si>
  <si>
    <t>Coûts liés à l'utilisation des caisses IFCO pour le producteur négociant au niveau FOB (Dans la liste suivante, ne considérez que les coûts encourus par le producteur qui commercialise au niveau FOB: location des caisses IFCO, déstockage, douane et dédouanement, transport des caisses IFCO jusqu'à l'exploitation, réapprovisionnement des stocks en cas de perte ou d'endommagement des caisses IFCO, etc.)</t>
  </si>
  <si>
    <t>Custos de utilização de caixas IFCO para o produtor que comercializa ao nível FOB (Da lista que se segue, considerar apenas os custos incorridos pelo produtor que comercializa ao nível FOB: aluguer de caixas IFCO, desarmazenagem, alfândegas e desalfandegamento, transporte de caixas IFCO para a unidade de produção, reposição de existências devido a perda ou dano de caixas IFCO, etc.).</t>
  </si>
  <si>
    <t>Costos por uso de cajas IFCO para el productor que comercializa a nivel FOB (De la siguiente lista considere solamente aquellos costos incurridos por el productor que comercializa a nivel FOB: arriendo de cajas IFCO, desalmacenaje, nacionalización, transporte de cajas IFCO a la finca, reposición de inventario por pédidas o daño de cajas IFCO, etc)</t>
  </si>
  <si>
    <t>Costs for the use of IFCO crates for the producer trading at Ex Works level (From the following list only consider those costs incurred by the producer trading at Ex Works level: rental of IFCO crates, destocking, customs and clearance, transport of IFCO crates to the farm, re stocking of inventory due to loss or damage of IFCO crates, etc.).</t>
  </si>
  <si>
    <t>Coûts liés à l'utilisation des caisses IFCO pour le producteur négociant au niveau Ex Works (Dans la liste suivante, ne considérez que les coûts encourus par le producteur qui commercialise au niveau Ex Works: location des caisses IFCO, déstockage, douane et dédouanement, transport des caisses IFCO jusqu'à l'exploitation, réapprovisionnement des stocks en cas de perte ou d'endommagement des caisses IFCO, etc.)</t>
  </si>
  <si>
    <t>Custos de utilização de caixas IFCO para o produtor que comercializa ao nível Ex Works (Da lista que se segue, considerar apenas os custos incorridos pelo produtor que comercializa ao nível Ex Works: aluguer de caixas IFCO, desarmazenagem, alfândegas e desalfandegamento, transporte de caixas IFCO para a unidade de produção, reposição de existências devido a perda ou dano de caixas IFCO, etc.).</t>
  </si>
  <si>
    <t>Costos por uso de cajas IFCO para el productor que comercializa a nivel Ex Works (De la siguiente lista considere solamente aquellos costos incurridos por el productor que comercializa a nivel Ex Works: arriendo de cajas IFCO, desalmacenaje, nacionalización, transporte de cajas IFCO a la finca, reposición de inventario por pédidas o daño de cajas IFCO, etc)</t>
  </si>
  <si>
    <t>IFCO crate</t>
  </si>
  <si>
    <t>#N/A significa que no existe convencional</t>
  </si>
  <si>
    <t>FMP existente:</t>
  </si>
  <si>
    <t>Prorateo solicitado:</t>
  </si>
  <si>
    <t>TRUE significa que solo falta completar el nombre del puerto</t>
  </si>
  <si>
    <t>main</t>
  </si>
  <si>
    <t>secondary</t>
  </si>
  <si>
    <t>min</t>
  </si>
  <si>
    <t>second</t>
  </si>
  <si>
    <t>Moin (CR)/Cortez (HN)</t>
  </si>
  <si>
    <t>Guayaquil (arriving to port from Machala)</t>
  </si>
  <si>
    <t>Guayaquil/Posorja (arriving to port from Santa Elena)</t>
  </si>
  <si>
    <t>Guayaquil (llegando a puerto desde Machala)</t>
  </si>
  <si>
    <t>Guayaquil/Posorja (llegando a puerto desde Santa Elena)</t>
  </si>
  <si>
    <t>Guayaquil (arrivée au port de Machala)</t>
  </si>
  <si>
    <t>Guayaquil/Posorja (arrivant au port de Santa Elena)</t>
  </si>
  <si>
    <t>Guayaquil (chegada ao porto desde Machala)</t>
  </si>
  <si>
    <t>Guayaquil/Posorja (chegada ao porto desde Santa Elena)</t>
  </si>
  <si>
    <t>listado de puertos</t>
  </si>
  <si>
    <t>perdida o dano de materiales lo eliminamos por la siguiente razón: el carton estandar de dana por el tipo de material, se deteriora faacilmente, humedad, etc se tiene estadistica confiable para perdida dano de 0.5% del total de cajas. La caja IFCO se dana por manejo, no sabemos aun que porcentaje se puede danar, se necesita más estadistica para poder definir un porcentaje de pérdida</t>
  </si>
  <si>
    <t>" C O N S I D E R E   S O L A M E N T E   A Q U E L L O S   C O S T O S   I N C U R R I D O S   P O R   E L   P R O D U C T O R "</t>
  </si>
  <si>
    <t>" C O N S I D E R   O N L Y   T H O S E   C O S T S   I N C U R R E D   B Y   T H E   P R O D U C E R "</t>
  </si>
  <si>
    <t>" N E   C O N S I D E R E R   Q U E   L E S   C O U T S   S U P P O R T E S   P A R   L E   P R O D U C T E U R "</t>
  </si>
  <si>
    <t>" C O N S I D E R A R   A P E N A S   O S   C U S T O S   I N C O R R I D O S   P E L O   P R O D U C E R "</t>
  </si>
  <si>
    <t>The tool prorates the Fairtrade Minimum Prices of the standard 18.14 kg cardboard box to a special cardboard box (of a weight in kilos and a price, to be indicated by the user in the empty cells of the spreadsheet).</t>
  </si>
  <si>
    <t>L'outil répartit les prix minimums du commerce équitable entre le carton standard de 18.14 kg et un carton spécial (d'un poids en kilos et d'un prix, à indiquer par l'utilisateur dans les cellules vides du formulaire).</t>
  </si>
  <si>
    <t>A ferramenta reparte os Preços Mínimos de Comércio Justo da caixa normalizada de 18.14 kg para uma caixa especial (com um peso em quilos e um preço, a indicar pelo utilizador nas células vazias do formulário).</t>
  </si>
  <si>
    <t>La herramienta prorratea los Precios Mínimos Fairtrade de la caja de cartón estándar de 18.14 kg a una caja de cartón especial (de un peso en kilos y un precio, que deben ser indicados por el usuario en las celdas vacías del formulario).</t>
  </si>
  <si>
    <t>Ivory Coast</t>
  </si>
  <si>
    <t>Costa de Marfil</t>
  </si>
  <si>
    <t>Côte d'Ivoire</t>
  </si>
  <si>
    <t>Costa do Marfim</t>
  </si>
  <si>
    <t>Name of conv port</t>
  </si>
  <si>
    <t>Moin (Costa Rica)</t>
  </si>
  <si>
    <t>Abidjan</t>
  </si>
  <si>
    <t>Santa Marta</t>
  </si>
  <si>
    <t>Guayaquil (arriving to port from Santa Elena)</t>
  </si>
  <si>
    <t>Posorja (arriving to port from Santa Elena)</t>
  </si>
  <si>
    <t>Posorja (arriving to port from Machala)</t>
  </si>
  <si>
    <t>Moin (Costa Rica)/ Cortez (Honduras)</t>
  </si>
  <si>
    <t>PA</t>
  </si>
  <si>
    <t>PE</t>
  </si>
  <si>
    <t>CO</t>
  </si>
  <si>
    <t>EC</t>
  </si>
  <si>
    <t>CI</t>
  </si>
  <si>
    <t>GH</t>
  </si>
  <si>
    <t>DO</t>
  </si>
  <si>
    <t>NI</t>
  </si>
  <si>
    <t>CM</t>
  </si>
  <si>
    <t>Turbo/Santa Marta</t>
  </si>
  <si>
    <t>Guayaquil (arrivant au port de Machala)</t>
  </si>
  <si>
    <t>Guyaquil (llegando a puerto desde Santa Elena)</t>
  </si>
  <si>
    <t>Guyaquil (arrivant au port de Santa Elena)</t>
  </si>
  <si>
    <t>Posorja (llegando a puerto desde Santa Elena)</t>
  </si>
  <si>
    <t>Posorja (arrivant au port de Santa Elena)</t>
  </si>
  <si>
    <t>Posorja (llegando a puerto desde Machala)</t>
  </si>
  <si>
    <t>Posorja (arrivant au port de Machala)</t>
  </si>
  <si>
    <t>Guayaquil (chegando ao porto vindo de Machala)</t>
  </si>
  <si>
    <t>Guayaquil (chegando ao porto vindo de Santa Elena)</t>
  </si>
  <si>
    <t>Posorja (chegando ao porto vindo de Santa Elena)</t>
  </si>
  <si>
    <t>Posorja (chegando ao porto vindo de Machala)</t>
  </si>
  <si>
    <t>a)</t>
  </si>
  <si>
    <t>Organic</t>
  </si>
  <si>
    <t>DOOrganicEXW2026</t>
  </si>
  <si>
    <t>USD/box</t>
  </si>
  <si>
    <t>GHOrganicEXW2026</t>
  </si>
  <si>
    <t>EUR/box</t>
  </si>
  <si>
    <t>CIOrganicEXW2026</t>
  </si>
  <si>
    <t>ACPOrganicEXW2026</t>
  </si>
  <si>
    <t>ACP</t>
  </si>
  <si>
    <t>COOrganicEXW2026</t>
  </si>
  <si>
    <t>ECOrganicEXW2026</t>
  </si>
  <si>
    <t>PEOrganicEXW2026</t>
  </si>
  <si>
    <t>Non-ACPOrganicEXW2026</t>
  </si>
  <si>
    <t>Non-ACP</t>
  </si>
  <si>
    <t>Conventional</t>
  </si>
  <si>
    <t>CMConventionalEXW2026</t>
  </si>
  <si>
    <t>DOConventionalEXW2026</t>
  </si>
  <si>
    <t>GHConventionalEXW2026</t>
  </si>
  <si>
    <t>CIConventionalEXW2026</t>
  </si>
  <si>
    <t>ACPConventionalEXW2026</t>
  </si>
  <si>
    <t>COConventionalEXW2026</t>
  </si>
  <si>
    <t>CRConventionalEXW2026</t>
  </si>
  <si>
    <t>CR</t>
  </si>
  <si>
    <t>ECConventionalEXW2026</t>
  </si>
  <si>
    <t>NIConventionalEXW2026</t>
  </si>
  <si>
    <t>PAConventionalEXW2026</t>
  </si>
  <si>
    <t>Non-ACPConventionalEXW2026</t>
  </si>
  <si>
    <t>b)</t>
  </si>
  <si>
    <t>DOOrganicFOB2026Manzanillo</t>
  </si>
  <si>
    <t>DOOrganicFOB2026Caucedo</t>
  </si>
  <si>
    <t>GHOrganicFOB2026Tema</t>
  </si>
  <si>
    <t>CIOrganicFOB2026Abidjan</t>
  </si>
  <si>
    <t>ACPOrganicFOB20260</t>
  </si>
  <si>
    <t>COOrganicFOB2026Santa Marta</t>
  </si>
  <si>
    <t>ECOrganicFOB2026Bolivar</t>
  </si>
  <si>
    <t>ECOrganicFOB2026Guayaquil (arriving to port from Machala)</t>
  </si>
  <si>
    <t>ECOrganicFOB2026Guayaquil (arriving to port from Santa Elena)</t>
  </si>
  <si>
    <t>ECOrganicFOB2026Posorja (arriving to port from Santa Elena)</t>
  </si>
  <si>
    <t>ECOrganicFOB2026Posorja (arriving to port from Machala)</t>
  </si>
  <si>
    <t>PEOrganicFOB2026Paita</t>
  </si>
  <si>
    <t>Non-ACPOrganicFOB20260</t>
  </si>
  <si>
    <t>CMConventionalFOB2026Douala</t>
  </si>
  <si>
    <t>CMConventionalFOB20260</t>
  </si>
  <si>
    <t>DOConventionalFOB2026Manzanillo</t>
  </si>
  <si>
    <t>DOConventionalFOB2026Caucedo</t>
  </si>
  <si>
    <t>GHConventionalFOB2026Tema</t>
  </si>
  <si>
    <t>CIConventionalFOB2026Abidjan</t>
  </si>
  <si>
    <t>ACPConventionalFOB20260</t>
  </si>
  <si>
    <t>COConventionalFOB2026Turbo/Santa Marta</t>
  </si>
  <si>
    <t>CRConventionalFOB20260</t>
  </si>
  <si>
    <t>ECConventionalFOB2026Bolivar</t>
  </si>
  <si>
    <t>ECConventionalFOB2026Guayaquil (arriving to port from Machala)</t>
  </si>
  <si>
    <t>ECConventionalFOB2026Guayaquil (arriving to port from Santa Elena)</t>
  </si>
  <si>
    <t>ECConventionalFOB2026Posorja (arriving to port from Santa Elena)</t>
  </si>
  <si>
    <t>ECConventionalFOB2026Posorja (arriving to port from Machala)</t>
  </si>
  <si>
    <t>NIConventionalFOB2026Corinto</t>
  </si>
  <si>
    <t>NIConventionalFOB2026Moin (Costa Rica)/ Cortez (Honduras)</t>
  </si>
  <si>
    <t>PAConventionalFOB2026Moín (Costa Rica)</t>
  </si>
  <si>
    <t>Moín (Costa Rica)</t>
  </si>
  <si>
    <t>PAConventionalFOB20260</t>
  </si>
  <si>
    <t>Non-ACPConventionalFOB20260</t>
  </si>
  <si>
    <t>con</t>
  </si>
  <si>
    <t>Row</t>
  </si>
  <si>
    <t>Col</t>
  </si>
  <si>
    <t>Port</t>
  </si>
  <si>
    <t>DomRep</t>
  </si>
  <si>
    <t>CM_box</t>
  </si>
  <si>
    <t>CO_box</t>
  </si>
  <si>
    <t>CI_box</t>
  </si>
  <si>
    <t>DO_box</t>
  </si>
  <si>
    <t>EC_box</t>
  </si>
  <si>
    <t>GH_box</t>
  </si>
  <si>
    <t>NI_box</t>
  </si>
  <si>
    <t>PA_box</t>
  </si>
  <si>
    <t>PE_box</t>
  </si>
  <si>
    <t>celdas B10 y C10 no deben visualizarse</t>
  </si>
  <si>
    <t>celdas B9, C9, B10 y C10 no deben visualizarse</t>
  </si>
  <si>
    <t>PAÍS elegido</t>
  </si>
  <si>
    <t>IDIOMA elegido</t>
  </si>
  <si>
    <t>NOMBRE del PAÍS elegido en el IDIOMA elegido</t>
  </si>
  <si>
    <t>si: BN98=TRUE, modificar mensaje en la celda B12</t>
  </si>
  <si>
    <t>si: BN101=TRUE. Modificar mensaje en celda B12</t>
  </si>
  <si>
    <t>si: BN104=TRUE. Modificar mensaje en celda B12</t>
  </si>
  <si>
    <t>si: BN107=TRUE, modificar mensaje en celda B12</t>
  </si>
  <si>
    <t>El nombre del PUERTO elegido no pertenece al PAÍS elegido, entonces BM113=#N/A</t>
  </si>
  <si>
    <t>si: BN113=TRUE, modificar mensaje de celda B12</t>
  </si>
  <si>
    <t>si: BN110=TRUE, modificar mensaje en celda B12</t>
  </si>
  <si>
    <t>El nombre del PUERTO elegido no está escrito en el IDIOMA elegido, entonces BM110=0</t>
  </si>
  <si>
    <t>No existe valor del country specific FMP FOB, entonces OR(BM104=#N/A,BM108=0.00,BM108=#N/A)</t>
  </si>
  <si>
    <t>The name of the country is not written in the language you have chosen</t>
  </si>
  <si>
    <t>The name of the Fairtrade banana type is not written in the language you have chosen</t>
  </si>
  <si>
    <t>The name of the port is not written in the language you have chosen</t>
  </si>
  <si>
    <t>The name of the port does not correspond to the country you have chosen</t>
  </si>
  <si>
    <t>El nombre del puerto no corresponde al país que ha elegido</t>
  </si>
  <si>
    <t>El nombre del puerto no está escrito en el idioma ha elegido</t>
  </si>
  <si>
    <t>El nombre del tipo de banano Fairtrade no esta escrito en el idioma que ha elegido</t>
  </si>
  <si>
    <t>El nombre del país no está escrito en el idioma que ha elegido</t>
  </si>
  <si>
    <t>Le nom du pays n'est pas écrit dans la langue que vous avez choisie</t>
  </si>
  <si>
    <t>Le nom du type de banane Fairtrade n'est pas écrit dans la langue que vous avez choisie</t>
  </si>
  <si>
    <t>Il n'existe pas de prix minimum pour les bananes Fairtrade biologiques  de l'Équateur</t>
  </si>
  <si>
    <t>Le nom du port n'est pas écrit dans la langue que vous avez choisie</t>
  </si>
  <si>
    <t>Le nom du port ne correspond pas au pays que vous avez choisi</t>
  </si>
  <si>
    <t>O nome do país não está escrito no idioma que escolheu.</t>
  </si>
  <si>
    <t>O nome do tipo de banana Fairtrade não está escrito no idioma que escolheu.</t>
  </si>
  <si>
    <t>Não existe um preço mínimo para a banana Fairtrade orgânica do Equador.</t>
  </si>
  <si>
    <t>O nome do porto não está escrito no idioma que escolheu.</t>
  </si>
  <si>
    <t>O nome do porto não corresponde ao país que escolheu.</t>
  </si>
  <si>
    <t>banano Fairtrade orgánico</t>
  </si>
  <si>
    <t>si: BN115=TRUE, modificar formato de celda B12</t>
  </si>
  <si>
    <t>special cardboard box</t>
  </si>
  <si>
    <t>box</t>
  </si>
  <si>
    <t>caja</t>
  </si>
  <si>
    <t>caixa</t>
  </si>
  <si>
    <t>Si no aparece mensaje en la celda B12, entonces BN115=TRUE</t>
  </si>
  <si>
    <t>BN110</t>
  </si>
  <si>
    <t>BN113</t>
  </si>
  <si>
    <t>si: BN96=TRUE, modificar mensaje en la celda B12</t>
  </si>
  <si>
    <t>si: BN95=TRUE, modificar mensaje en la celda B12</t>
  </si>
  <si>
    <t>El nombre del PAÍS elegido no está escrito en el IDIOMA elegido, entonces BM96=#N/A</t>
  </si>
  <si>
    <t>El tipo de banano no tiene FMP en el país elegido, entonces BM98=0</t>
  </si>
  <si>
    <t>El nombre del PAÍS elegido no está escrito en el IDIOMA elegido, entonces BM100=#N/A</t>
  </si>
  <si>
    <t>El nombre del TIPO de banano elegido no está escrito en el IDIOMA elegido, entonces BM103=#N/A</t>
  </si>
  <si>
    <t>No hay country specific FMP para el TIPO de banano elegido, entonces BM106=#N/A</t>
  </si>
  <si>
    <t>No existe valor del country specific FMP ExWorks, entonces OR(BM104=#N/A,BM107=0.00,BM109=#N/A)</t>
  </si>
  <si>
    <t>DE LA TABLA DE INSUMOS Y SERVICIOS</t>
  </si>
  <si>
    <t>caisse</t>
  </si>
  <si>
    <t>Caisse en carton standard (commerce équitable)</t>
  </si>
  <si>
    <t>Caisse en carton spéciale</t>
  </si>
  <si>
    <r>
      <t>Espa</t>
    </r>
    <r>
      <rPr>
        <sz val="11"/>
        <color theme="0"/>
        <rFont val="Calibri"/>
        <family val="2"/>
      </rPr>
      <t>ñ</t>
    </r>
    <r>
      <rPr>
        <sz val="11"/>
        <color theme="0"/>
        <rFont val="Calibri"/>
        <family val="2"/>
        <scheme val="minor"/>
      </rPr>
      <t>ol</t>
    </r>
  </si>
  <si>
    <r>
      <t xml:space="preserve">Costos por uso de cajas IFCO para el productor que comercializa a nivel FOB (De la siguiente lista </t>
    </r>
    <r>
      <rPr>
        <b/>
        <sz val="11"/>
        <color theme="0"/>
        <rFont val="Calibri"/>
        <family val="2"/>
        <scheme val="minor"/>
      </rPr>
      <t>"considere solamente aquellos costos incurridos por el productor"</t>
    </r>
    <r>
      <rPr>
        <sz val="11"/>
        <color theme="0"/>
        <rFont val="Calibri"/>
        <family val="2"/>
        <scheme val="minor"/>
      </rPr>
      <t xml:space="preserve"> que comercializa a nivel FOB: arriendo de cajas IFCO, desalmacenaje, nacionalización, transporte de cajas IFCO a la finca, etc):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</si>
</sst>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1"/>
      <color theme="1"/>
      <name val="Calibri"/>
      <family val="2"/>
      <scheme val="minor"/>
    </font>
    <font>
      <sz val="11"/>
      <name val="Calibri"/>
      <family val="2"/>
      <scheme val="minor"/>
    </font>
    <font>
      <sz val="12"/>
      <color theme="1"/>
      <name val="Calibri"/>
      <family val="2"/>
      <scheme val="minor"/>
    </font>
    <font>
      <b/>
      <sz val="11"/>
      <name val="Calibri"/>
      <family val="2"/>
      <scheme val="minor"/>
    </font>
    <font>
      <b/>
      <sz val="14"/>
      <color rgb="FFFF0000"/>
      <name val="Calibri"/>
      <family val="2"/>
      <scheme val="minor"/>
    </font>
    <font>
      <b/>
      <sz val="14"/>
      <color rgb="FF0088EE"/>
      <name val="Calibri"/>
      <family val="2"/>
      <scheme val="minor"/>
    </font>
    <font>
      <b/>
      <sz val="12"/>
      <color rgb="FF0088EE"/>
      <name val="Calibri"/>
      <family val="2"/>
      <scheme val="minor"/>
    </font>
    <font>
      <b/>
      <sz val="20"/>
      <color theme="1"/>
      <name val="Calibri"/>
      <family val="2"/>
      <scheme val="minor"/>
    </font>
    <font>
      <b/>
      <sz val="12"/>
      <color theme="0"/>
      <name val="Calibri"/>
      <family val="2"/>
      <scheme val="minor"/>
    </font>
    <font>
      <b/>
      <sz val="20"/>
      <color theme="0"/>
      <name val="Calibri Light"/>
      <family val="2"/>
      <scheme val="major"/>
    </font>
    <font>
      <b/>
      <sz val="12"/>
      <color theme="9" tint="-0.249977111117893"/>
      <name val="Calibri"/>
      <family val="2"/>
      <scheme val="minor"/>
    </font>
    <font>
      <sz val="11"/>
      <color rgb="FFFF0000"/>
      <name val="Calibri"/>
      <family val="2"/>
      <scheme val="minor"/>
    </font>
    <font>
      <sz val="20"/>
      <color theme="1"/>
      <name val="Arial Black"/>
      <family val="2"/>
    </font>
    <font>
      <b/>
      <sz val="16"/>
      <color theme="7"/>
      <name val="Calibri"/>
      <family val="2"/>
      <scheme val="minor"/>
    </font>
    <font>
      <b/>
      <sz val="15"/>
      <color theme="1"/>
      <name val="Calibri"/>
      <family val="2"/>
      <scheme val="minor"/>
    </font>
    <font>
      <sz val="10"/>
      <color theme="1"/>
      <name val="Calibri"/>
      <family val="2"/>
      <scheme val="minor"/>
    </font>
    <font>
      <b/>
      <sz val="10"/>
      <color theme="1"/>
      <name val="Calibri"/>
      <family val="2"/>
      <scheme val="minor"/>
    </font>
    <font>
      <sz val="11"/>
      <color rgb="FF0070C0"/>
      <name val="Calibri"/>
      <family val="2"/>
      <scheme val="minor"/>
    </font>
    <font>
      <sz val="10"/>
      <color rgb="FFFF0000"/>
      <name val="Calibri"/>
      <family val="2"/>
      <scheme val="minor"/>
    </font>
    <font>
      <sz val="11"/>
      <color rgb="FF92D05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9"/>
      <color theme="0"/>
      <name val="Calibri"/>
      <family val="2"/>
      <scheme val="minor"/>
    </font>
    <font>
      <b/>
      <sz val="9"/>
      <color theme="0"/>
      <name val="Calibri"/>
      <family val="2"/>
      <scheme val="minor"/>
    </font>
    <font>
      <sz val="7"/>
      <color theme="0"/>
      <name val="Calibri"/>
      <family val="2"/>
      <scheme val="minor"/>
    </font>
    <font>
      <b/>
      <sz val="7"/>
      <color theme="0"/>
      <name val="Calibri"/>
      <family val="2"/>
      <scheme val="minor"/>
    </font>
    <font>
      <sz val="11"/>
      <color theme="0"/>
      <name val="Calibri"/>
      <family val="2"/>
    </font>
    <font>
      <b/>
      <sz val="20"/>
      <color theme="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9" tint="-0.249977111117893"/>
        <bgColor indexed="64"/>
      </patternFill>
    </fill>
  </fills>
  <borders count="25">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top/>
      <bottom/>
      <diagonal/>
    </border>
    <border>
      <left style="medium">
        <color auto="1"/>
      </left>
      <right style="thin">
        <color auto="1"/>
      </right>
      <top/>
      <bottom style="thin">
        <color auto="1"/>
      </bottom>
      <diagonal/>
    </border>
    <border>
      <left style="medium">
        <color auto="1"/>
      </left>
      <right style="thin">
        <color auto="1"/>
      </right>
      <top/>
      <bottom style="medium">
        <color indexed="64"/>
      </bottom>
      <diagonal/>
    </border>
    <border>
      <left style="medium">
        <color auto="1"/>
      </left>
      <right style="thin">
        <color auto="1"/>
      </right>
      <top/>
      <bottom/>
      <diagonal/>
    </border>
    <border>
      <left/>
      <right style="medium">
        <color indexed="64"/>
      </right>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right/>
      <top/>
      <bottom style="medium">
        <color auto="1"/>
      </bottom>
      <diagonal/>
    </border>
    <border>
      <left style="medium">
        <color indexed="64"/>
      </left>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3" fillId="0" borderId="0"/>
  </cellStyleXfs>
  <cellXfs count="120">
    <xf numFmtId="0" fontId="0" fillId="0" borderId="0" xfId="0"/>
    <xf numFmtId="0" fontId="0" fillId="2" borderId="0" xfId="0" applyFill="1" applyProtection="1">
      <protection hidden="1"/>
    </xf>
    <xf numFmtId="2" fontId="6" fillId="2" borderId="1" xfId="0" applyNumberFormat="1" applyFont="1" applyFill="1" applyBorder="1" applyAlignment="1" applyProtection="1">
      <alignment vertical="top"/>
      <protection locked="0" hidden="1"/>
    </xf>
    <xf numFmtId="2" fontId="6" fillId="2" borderId="7" xfId="0" applyNumberFormat="1" applyFont="1" applyFill="1" applyBorder="1" applyAlignment="1" applyProtection="1">
      <alignment vertical="top"/>
      <protection locked="0" hidden="1"/>
    </xf>
    <xf numFmtId="0" fontId="0" fillId="2" borderId="0" xfId="0" applyFill="1" applyAlignment="1" applyProtection="1">
      <alignment wrapText="1"/>
      <protection hidden="1"/>
    </xf>
    <xf numFmtId="0" fontId="1" fillId="3" borderId="9" xfId="0" applyFont="1" applyFill="1" applyBorder="1" applyAlignment="1" applyProtection="1">
      <alignment vertical="top" wrapText="1"/>
      <protection hidden="1"/>
    </xf>
    <xf numFmtId="0" fontId="4" fillId="3" borderId="8" xfId="0" applyFont="1" applyFill="1" applyBorder="1" applyAlignment="1" applyProtection="1">
      <alignment horizontal="center" vertical="top" wrapText="1"/>
      <protection hidden="1"/>
    </xf>
    <xf numFmtId="0" fontId="4" fillId="3" borderId="5" xfId="0" applyFont="1" applyFill="1" applyBorder="1" applyAlignment="1" applyProtection="1">
      <alignment horizontal="center" vertical="top"/>
      <protection hidden="1"/>
    </xf>
    <xf numFmtId="0" fontId="2" fillId="3" borderId="9" xfId="0" quotePrefix="1" applyFont="1" applyFill="1" applyBorder="1" applyAlignment="1" applyProtection="1">
      <alignment horizontal="left" vertical="top" wrapText="1" indent="2"/>
      <protection hidden="1"/>
    </xf>
    <xf numFmtId="0" fontId="2" fillId="3" borderId="5" xfId="0" applyFont="1" applyFill="1" applyBorder="1" applyAlignment="1" applyProtection="1">
      <alignment vertical="top"/>
      <protection hidden="1"/>
    </xf>
    <xf numFmtId="0" fontId="2" fillId="3" borderId="17" xfId="0" quotePrefix="1" applyFont="1" applyFill="1" applyBorder="1" applyAlignment="1" applyProtection="1">
      <alignment horizontal="left" vertical="top" wrapText="1" indent="2"/>
      <protection hidden="1"/>
    </xf>
    <xf numFmtId="0" fontId="2" fillId="3" borderId="13" xfId="0" applyFont="1" applyFill="1" applyBorder="1" applyAlignment="1" applyProtection="1">
      <alignment vertical="top"/>
      <protection hidden="1"/>
    </xf>
    <xf numFmtId="0" fontId="4" fillId="3" borderId="9" xfId="0" quotePrefix="1" applyFont="1" applyFill="1" applyBorder="1" applyAlignment="1" applyProtection="1">
      <alignment vertical="top" wrapText="1"/>
      <protection hidden="1"/>
    </xf>
    <xf numFmtId="2" fontId="2" fillId="3" borderId="8" xfId="0" applyNumberFormat="1" applyFont="1" applyFill="1" applyBorder="1" applyAlignment="1" applyProtection="1">
      <alignment horizontal="right" vertical="top" wrapText="1"/>
      <protection hidden="1"/>
    </xf>
    <xf numFmtId="0" fontId="4" fillId="3" borderId="9" xfId="0" quotePrefix="1" applyFont="1" applyFill="1" applyBorder="1" applyAlignment="1" applyProtection="1">
      <alignment horizontal="left" vertical="top" wrapText="1"/>
      <protection hidden="1"/>
    </xf>
    <xf numFmtId="0" fontId="2" fillId="3" borderId="12" xfId="0" quotePrefix="1" applyFont="1" applyFill="1" applyBorder="1" applyAlignment="1" applyProtection="1">
      <alignment horizontal="left" vertical="top" wrapText="1" indent="2"/>
      <protection hidden="1"/>
    </xf>
    <xf numFmtId="0" fontId="2" fillId="3" borderId="10" xfId="0" quotePrefix="1" applyFont="1" applyFill="1" applyBorder="1" applyAlignment="1" applyProtection="1">
      <alignment horizontal="left" vertical="top" wrapText="1" indent="2"/>
      <protection hidden="1"/>
    </xf>
    <xf numFmtId="0" fontId="4" fillId="3" borderId="12" xfId="0" quotePrefix="1" applyFont="1" applyFill="1" applyBorder="1" applyAlignment="1" applyProtection="1">
      <alignment horizontal="left" vertical="top" wrapText="1"/>
      <protection hidden="1"/>
    </xf>
    <xf numFmtId="0" fontId="4" fillId="3" borderId="5" xfId="0" applyFont="1" applyFill="1" applyBorder="1" applyProtection="1">
      <protection hidden="1"/>
    </xf>
    <xf numFmtId="0" fontId="2" fillId="3" borderId="6" xfId="0" applyFont="1" applyFill="1" applyBorder="1" applyAlignment="1" applyProtection="1">
      <alignment vertical="top"/>
      <protection hidden="1"/>
    </xf>
    <xf numFmtId="2" fontId="6" fillId="3" borderId="8" xfId="0" applyNumberFormat="1" applyFont="1" applyFill="1" applyBorder="1" applyAlignment="1" applyProtection="1">
      <alignment vertical="top"/>
      <protection hidden="1"/>
    </xf>
    <xf numFmtId="2" fontId="4" fillId="3" borderId="8" xfId="0" applyNumberFormat="1" applyFont="1" applyFill="1" applyBorder="1" applyProtection="1">
      <protection hidden="1"/>
    </xf>
    <xf numFmtId="0" fontId="0" fillId="3" borderId="8" xfId="0" quotePrefix="1" applyFill="1" applyBorder="1" applyAlignment="1" applyProtection="1">
      <alignment vertical="top"/>
      <protection hidden="1"/>
    </xf>
    <xf numFmtId="0" fontId="0" fillId="3" borderId="15" xfId="0" quotePrefix="1" applyFill="1" applyBorder="1" applyAlignment="1" applyProtection="1">
      <alignment vertical="top"/>
      <protection hidden="1"/>
    </xf>
    <xf numFmtId="0" fontId="5" fillId="4" borderId="16" xfId="0" applyFont="1" applyFill="1" applyBorder="1" applyAlignment="1" applyProtection="1">
      <alignment horizontal="center" vertical="top" wrapText="1"/>
      <protection hidden="1"/>
    </xf>
    <xf numFmtId="0" fontId="8" fillId="4" borderId="0" xfId="0" applyFont="1" applyFill="1" applyAlignment="1" applyProtection="1">
      <alignment horizontal="center" vertical="center" wrapText="1"/>
      <protection hidden="1"/>
    </xf>
    <xf numFmtId="0" fontId="9" fillId="4" borderId="0" xfId="0" applyFont="1" applyFill="1" applyAlignment="1" applyProtection="1">
      <alignment horizontal="right"/>
      <protection hidden="1"/>
    </xf>
    <xf numFmtId="0" fontId="0" fillId="4" borderId="18" xfId="0" applyFill="1" applyBorder="1" applyProtection="1">
      <protection hidden="1"/>
    </xf>
    <xf numFmtId="0" fontId="0" fillId="4" borderId="20" xfId="0" applyFill="1" applyBorder="1" applyProtection="1">
      <protection hidden="1"/>
    </xf>
    <xf numFmtId="0" fontId="0" fillId="4" borderId="9" xfId="0" applyFill="1" applyBorder="1" applyProtection="1">
      <protection hidden="1"/>
    </xf>
    <xf numFmtId="0" fontId="0" fillId="4" borderId="5" xfId="0" applyFill="1" applyBorder="1" applyProtection="1">
      <protection hidden="1"/>
    </xf>
    <xf numFmtId="0" fontId="0" fillId="4" borderId="21" xfId="0" applyFill="1" applyBorder="1" applyProtection="1">
      <protection hidden="1"/>
    </xf>
    <xf numFmtId="0" fontId="0" fillId="4" borderId="16" xfId="0" applyFill="1" applyBorder="1" applyAlignment="1" applyProtection="1">
      <alignment wrapText="1"/>
      <protection hidden="1"/>
    </xf>
    <xf numFmtId="0" fontId="0" fillId="4" borderId="16" xfId="0" applyFill="1" applyBorder="1" applyProtection="1">
      <protection hidden="1"/>
    </xf>
    <xf numFmtId="0" fontId="0" fillId="4" borderId="6" xfId="0" applyFill="1" applyBorder="1" applyProtection="1">
      <protection hidden="1"/>
    </xf>
    <xf numFmtId="0" fontId="11" fillId="4" borderId="0" xfId="0" applyFont="1" applyFill="1" applyAlignment="1" applyProtection="1">
      <alignment horizontal="left"/>
      <protection hidden="1"/>
    </xf>
    <xf numFmtId="0" fontId="11" fillId="4" borderId="0" xfId="0" applyFont="1" applyFill="1" applyAlignment="1" applyProtection="1">
      <alignment horizontal="right"/>
      <protection hidden="1"/>
    </xf>
    <xf numFmtId="0" fontId="0" fillId="3" borderId="18" xfId="0" applyFill="1" applyBorder="1" applyProtection="1">
      <protection hidden="1"/>
    </xf>
    <xf numFmtId="0" fontId="0" fillId="3" borderId="19" xfId="0" applyFill="1" applyBorder="1" applyAlignment="1" applyProtection="1">
      <alignment wrapText="1"/>
      <protection hidden="1"/>
    </xf>
    <xf numFmtId="0" fontId="0" fillId="3" borderId="19" xfId="0" applyFill="1" applyBorder="1" applyProtection="1">
      <protection hidden="1"/>
    </xf>
    <xf numFmtId="0" fontId="0" fillId="3" borderId="20" xfId="0" applyFill="1" applyBorder="1" applyProtection="1">
      <protection hidden="1"/>
    </xf>
    <xf numFmtId="0" fontId="0" fillId="3" borderId="9" xfId="0" applyFill="1" applyBorder="1" applyProtection="1">
      <protection hidden="1"/>
    </xf>
    <xf numFmtId="0" fontId="0" fillId="3" borderId="0" xfId="0" applyFill="1" applyProtection="1">
      <protection hidden="1"/>
    </xf>
    <xf numFmtId="0" fontId="0" fillId="3" borderId="5" xfId="0" applyFill="1" applyBorder="1" applyProtection="1">
      <protection hidden="1"/>
    </xf>
    <xf numFmtId="0" fontId="0" fillId="3" borderId="21" xfId="0" applyFill="1" applyBorder="1" applyProtection="1">
      <protection hidden="1"/>
    </xf>
    <xf numFmtId="0" fontId="0" fillId="3" borderId="16" xfId="0" applyFill="1" applyBorder="1" applyAlignment="1" applyProtection="1">
      <alignment wrapText="1"/>
      <protection hidden="1"/>
    </xf>
    <xf numFmtId="0" fontId="0" fillId="3" borderId="16" xfId="0" applyFill="1" applyBorder="1" applyProtection="1">
      <protection hidden="1"/>
    </xf>
    <xf numFmtId="0" fontId="0" fillId="3" borderId="6" xfId="0" applyFill="1" applyBorder="1" applyProtection="1">
      <protection hidden="1"/>
    </xf>
    <xf numFmtId="0" fontId="15" fillId="3" borderId="0" xfId="0" applyFont="1" applyFill="1" applyAlignment="1" applyProtection="1">
      <alignment vertical="center"/>
      <protection hidden="1"/>
    </xf>
    <xf numFmtId="0" fontId="13" fillId="2" borderId="24" xfId="0" applyFont="1" applyFill="1" applyBorder="1" applyAlignment="1" applyProtection="1">
      <alignment horizontal="center" vertical="center" wrapText="1"/>
      <protection locked="0" hidden="1"/>
    </xf>
    <xf numFmtId="2" fontId="0" fillId="3" borderId="8" xfId="0" applyNumberFormat="1" applyFill="1" applyBorder="1" applyAlignment="1" applyProtection="1">
      <alignment vertical="top"/>
      <protection hidden="1"/>
    </xf>
    <xf numFmtId="0" fontId="0" fillId="3" borderId="5" xfId="0" applyFill="1" applyBorder="1" applyAlignment="1" applyProtection="1">
      <alignment vertical="top"/>
      <protection hidden="1"/>
    </xf>
    <xf numFmtId="0" fontId="0" fillId="3" borderId="13" xfId="0" applyFill="1" applyBorder="1" applyAlignment="1" applyProtection="1">
      <alignment vertical="top"/>
      <protection hidden="1"/>
    </xf>
    <xf numFmtId="2" fontId="0" fillId="3" borderId="8" xfId="0" applyNumberFormat="1" applyFill="1" applyBorder="1" applyAlignment="1" applyProtection="1">
      <alignment horizontal="right" vertical="top" wrapText="1"/>
      <protection hidden="1"/>
    </xf>
    <xf numFmtId="2" fontId="0" fillId="3" borderId="14" xfId="0" quotePrefix="1" applyNumberFormat="1" applyFill="1" applyBorder="1" applyAlignment="1" applyProtection="1">
      <alignment horizontal="right" vertical="top" wrapText="1"/>
      <protection hidden="1"/>
    </xf>
    <xf numFmtId="0" fontId="0" fillId="2" borderId="0" xfId="0" quotePrefix="1" applyFill="1" applyAlignment="1" applyProtection="1">
      <alignment wrapText="1"/>
      <protection hidden="1"/>
    </xf>
    <xf numFmtId="0" fontId="16" fillId="2" borderId="0" xfId="0" applyFont="1" applyFill="1" applyProtection="1">
      <protection locked="0"/>
    </xf>
    <xf numFmtId="4" fontId="16" fillId="2" borderId="0" xfId="0" applyNumberFormat="1" applyFont="1" applyFill="1" applyProtection="1">
      <protection locked="0"/>
    </xf>
    <xf numFmtId="2" fontId="16" fillId="2" borderId="0" xfId="0" applyNumberFormat="1" applyFont="1" applyFill="1" applyProtection="1">
      <protection locked="0"/>
    </xf>
    <xf numFmtId="0" fontId="16" fillId="2" borderId="0" xfId="0" quotePrefix="1" applyFont="1" applyFill="1" applyProtection="1">
      <protection locked="0"/>
    </xf>
    <xf numFmtId="0" fontId="17" fillId="2" borderId="0" xfId="0" applyFont="1" applyFill="1" applyProtection="1">
      <protection locked="0"/>
    </xf>
    <xf numFmtId="0" fontId="12" fillId="2" borderId="0" xfId="0" applyFont="1" applyFill="1" applyProtection="1">
      <protection hidden="1"/>
    </xf>
    <xf numFmtId="0" fontId="18" fillId="2" borderId="0" xfId="0" applyFont="1" applyFill="1" applyProtection="1">
      <protection hidden="1"/>
    </xf>
    <xf numFmtId="2" fontId="0" fillId="3" borderId="14" xfId="0" applyNumberFormat="1" applyFill="1" applyBorder="1" applyAlignment="1" applyProtection="1">
      <alignment vertical="top" wrapText="1"/>
      <protection hidden="1"/>
    </xf>
    <xf numFmtId="0" fontId="0" fillId="2" borderId="0" xfId="0" applyFill="1" applyAlignment="1" applyProtection="1">
      <alignment horizontal="left" wrapText="1"/>
      <protection hidden="1"/>
    </xf>
    <xf numFmtId="0" fontId="0" fillId="2" borderId="0" xfId="0" applyFill="1" applyAlignment="1" applyProtection="1">
      <alignment horizontal="right" wrapText="1"/>
      <protection hidden="1"/>
    </xf>
    <xf numFmtId="0" fontId="12" fillId="2" borderId="0" xfId="0" applyFont="1" applyFill="1" applyAlignment="1" applyProtection="1">
      <alignment horizontal="right" wrapText="1"/>
      <protection hidden="1"/>
    </xf>
    <xf numFmtId="0" fontId="19" fillId="2" borderId="0" xfId="0" applyFont="1" applyFill="1" applyProtection="1">
      <protection locked="0"/>
    </xf>
    <xf numFmtId="0" fontId="18" fillId="2" borderId="0" xfId="0" applyFont="1" applyFill="1" applyAlignment="1" applyProtection="1">
      <alignment horizontal="right" wrapText="1"/>
      <protection hidden="1"/>
    </xf>
    <xf numFmtId="0" fontId="20" fillId="2" borderId="0" xfId="0" applyFont="1" applyFill="1" applyAlignment="1" applyProtection="1">
      <alignment horizontal="right" wrapText="1"/>
      <protection hidden="1"/>
    </xf>
    <xf numFmtId="0" fontId="20" fillId="2" borderId="0" xfId="0" applyFont="1" applyFill="1" applyProtection="1">
      <protection hidden="1"/>
    </xf>
    <xf numFmtId="0" fontId="22" fillId="2" borderId="0" xfId="0" applyFont="1" applyFill="1" applyProtection="1">
      <protection hidden="1"/>
    </xf>
    <xf numFmtId="0" fontId="22" fillId="2" borderId="0" xfId="0" applyFont="1" applyFill="1" applyAlignment="1" applyProtection="1">
      <alignment vertical="top"/>
      <protection hidden="1"/>
    </xf>
    <xf numFmtId="0" fontId="23" fillId="2" borderId="0" xfId="0" applyFont="1" applyFill="1" applyAlignment="1" applyProtection="1">
      <alignment vertical="top"/>
      <protection hidden="1"/>
    </xf>
    <xf numFmtId="0" fontId="21" fillId="2" borderId="0" xfId="0" applyFont="1" applyFill="1" applyAlignment="1" applyProtection="1">
      <alignment vertical="top"/>
      <protection hidden="1"/>
    </xf>
    <xf numFmtId="0" fontId="21" fillId="2" borderId="0" xfId="0" applyFont="1" applyFill="1" applyAlignment="1" applyProtection="1">
      <alignment horizontal="center"/>
      <protection hidden="1"/>
    </xf>
    <xf numFmtId="0" fontId="25" fillId="2" borderId="0" xfId="0" applyFont="1" applyFill="1" applyAlignment="1" applyProtection="1">
      <alignment horizontal="center" vertical="top" wrapText="1"/>
      <protection hidden="1"/>
    </xf>
    <xf numFmtId="0" fontId="25" fillId="2" borderId="0" xfId="0" applyFont="1" applyFill="1" applyAlignment="1" applyProtection="1">
      <alignment vertical="top" wrapText="1"/>
      <protection hidden="1"/>
    </xf>
    <xf numFmtId="0" fontId="24" fillId="2" borderId="0" xfId="0" applyFont="1" applyFill="1" applyAlignment="1" applyProtection="1">
      <alignment vertical="top" wrapText="1"/>
      <protection hidden="1"/>
    </xf>
    <xf numFmtId="0" fontId="24" fillId="2" borderId="0" xfId="0" applyFont="1" applyFill="1" applyAlignment="1" applyProtection="1">
      <alignment vertical="top"/>
      <protection hidden="1"/>
    </xf>
    <xf numFmtId="0" fontId="22" fillId="2" borderId="0" xfId="0" applyFont="1" applyFill="1" applyAlignment="1" applyProtection="1">
      <alignment vertical="top" wrapText="1"/>
      <protection hidden="1"/>
    </xf>
    <xf numFmtId="0" fontId="22" fillId="2" borderId="0" xfId="0" applyFont="1" applyFill="1" applyAlignment="1" applyProtection="1">
      <alignment horizontal="right" vertical="top"/>
      <protection hidden="1"/>
    </xf>
    <xf numFmtId="0" fontId="26" fillId="2" borderId="0" xfId="0" applyFont="1" applyFill="1" applyAlignment="1" applyProtection="1">
      <alignment vertical="top"/>
      <protection hidden="1"/>
    </xf>
    <xf numFmtId="0" fontId="27" fillId="2" borderId="0" xfId="0" applyFont="1" applyFill="1" applyAlignment="1" applyProtection="1">
      <alignment vertical="top"/>
      <protection hidden="1"/>
    </xf>
    <xf numFmtId="2" fontId="26" fillId="2" borderId="0" xfId="0" applyNumberFormat="1" applyFont="1" applyFill="1" applyAlignment="1" applyProtection="1">
      <alignment vertical="top"/>
      <protection hidden="1"/>
    </xf>
    <xf numFmtId="0" fontId="22" fillId="2" borderId="0" xfId="0" applyFont="1" applyFill="1" applyAlignment="1" applyProtection="1">
      <alignment wrapText="1"/>
      <protection hidden="1"/>
    </xf>
    <xf numFmtId="0" fontId="24" fillId="2" borderId="0" xfId="0" applyFont="1" applyFill="1" applyProtection="1">
      <protection hidden="1"/>
    </xf>
    <xf numFmtId="0" fontId="21" fillId="2" borderId="0" xfId="0" applyFont="1" applyFill="1" applyProtection="1">
      <protection hidden="1"/>
    </xf>
    <xf numFmtId="0" fontId="22" fillId="2" borderId="0" xfId="0" applyFont="1" applyFill="1" applyAlignment="1" applyProtection="1">
      <alignment vertical="center"/>
      <protection hidden="1"/>
    </xf>
    <xf numFmtId="0" fontId="22" fillId="2" borderId="0" xfId="0" quotePrefix="1" applyFont="1" applyFill="1" applyAlignment="1" applyProtection="1">
      <alignment vertical="center"/>
      <protection hidden="1"/>
    </xf>
    <xf numFmtId="0" fontId="29" fillId="2" borderId="0" xfId="0" applyFont="1" applyFill="1" applyAlignment="1" applyProtection="1">
      <alignment vertical="top"/>
      <protection hidden="1"/>
    </xf>
    <xf numFmtId="0" fontId="25" fillId="2" borderId="0" xfId="0" applyFont="1" applyFill="1" applyAlignment="1" applyProtection="1">
      <alignment vertical="top"/>
      <protection hidden="1"/>
    </xf>
    <xf numFmtId="4" fontId="22" fillId="2" borderId="0" xfId="0" applyNumberFormat="1" applyFont="1" applyFill="1" applyAlignment="1" applyProtection="1">
      <alignment vertical="top"/>
      <protection hidden="1"/>
    </xf>
    <xf numFmtId="0" fontId="22" fillId="2" borderId="0" xfId="0" applyFont="1" applyFill="1" applyAlignment="1" applyProtection="1">
      <alignment horizontal="left" vertical="top"/>
      <protection hidden="1"/>
    </xf>
    <xf numFmtId="0" fontId="22" fillId="2" borderId="0" xfId="0" applyFont="1" applyFill="1" applyAlignment="1" applyProtection="1">
      <alignment horizontal="center" vertical="top"/>
      <protection hidden="1"/>
    </xf>
    <xf numFmtId="0" fontId="22" fillId="2" borderId="0" xfId="0" quotePrefix="1" applyFont="1" applyFill="1" applyAlignment="1" applyProtection="1">
      <alignment vertical="top"/>
      <protection hidden="1"/>
    </xf>
    <xf numFmtId="0" fontId="22" fillId="2" borderId="0" xfId="0" quotePrefix="1" applyFont="1" applyFill="1" applyAlignment="1" applyProtection="1">
      <alignment vertical="top" wrapText="1"/>
      <protection hidden="1"/>
    </xf>
    <xf numFmtId="0" fontId="22" fillId="2" borderId="0" xfId="0" applyFont="1" applyFill="1" applyAlignment="1" applyProtection="1">
      <alignment horizontal="left" vertical="center"/>
      <protection hidden="1"/>
    </xf>
    <xf numFmtId="0" fontId="22" fillId="2" borderId="0" xfId="0" quotePrefix="1" applyFont="1" applyFill="1" applyProtection="1">
      <protection hidden="1"/>
    </xf>
    <xf numFmtId="0" fontId="22" fillId="2" borderId="0" xfId="0" quotePrefix="1" applyFont="1" applyFill="1" applyAlignment="1" applyProtection="1">
      <alignment horizontal="left" vertical="center"/>
      <protection hidden="1"/>
    </xf>
    <xf numFmtId="0" fontId="29" fillId="2" borderId="0" xfId="0" applyFont="1" applyFill="1" applyProtection="1">
      <protection hidden="1"/>
    </xf>
    <xf numFmtId="2" fontId="22" fillId="2" borderId="0" xfId="0" applyNumberFormat="1" applyFont="1" applyFill="1" applyAlignment="1" applyProtection="1">
      <alignment vertical="top"/>
      <protection hidden="1"/>
    </xf>
    <xf numFmtId="2" fontId="22" fillId="2" borderId="0" xfId="0" applyNumberFormat="1" applyFont="1" applyFill="1" applyProtection="1">
      <protection hidden="1"/>
    </xf>
    <xf numFmtId="0" fontId="22" fillId="2" borderId="0" xfId="0" applyFont="1" applyFill="1" applyAlignment="1" applyProtection="1">
      <alignment vertical="top" shrinkToFit="1"/>
      <protection hidden="1"/>
    </xf>
    <xf numFmtId="0" fontId="22" fillId="2" borderId="0" xfId="0" quotePrefix="1" applyFont="1" applyFill="1" applyAlignment="1" applyProtection="1">
      <alignment wrapText="1"/>
      <protection hidden="1"/>
    </xf>
    <xf numFmtId="4" fontId="22" fillId="2" borderId="0" xfId="0" applyNumberFormat="1" applyFont="1" applyFill="1" applyProtection="1">
      <protection hidden="1"/>
    </xf>
    <xf numFmtId="4" fontId="27" fillId="2" borderId="0" xfId="0" applyNumberFormat="1" applyFont="1" applyFill="1" applyAlignment="1" applyProtection="1">
      <alignment vertical="top"/>
      <protection hidden="1"/>
    </xf>
    <xf numFmtId="0" fontId="21" fillId="2" borderId="0" xfId="0" quotePrefix="1" applyFont="1" applyFill="1" applyProtection="1">
      <protection hidden="1"/>
    </xf>
    <xf numFmtId="0" fontId="21" fillId="2" borderId="0" xfId="0" applyFont="1" applyFill="1" applyAlignment="1" applyProtection="1">
      <alignment horizontal="center" vertical="top"/>
      <protection hidden="1"/>
    </xf>
    <xf numFmtId="0" fontId="7" fillId="2" borderId="1" xfId="0" applyFont="1" applyFill="1" applyBorder="1" applyAlignment="1" applyProtection="1">
      <alignment horizontal="left"/>
      <protection locked="0" hidden="1"/>
    </xf>
    <xf numFmtId="0" fontId="10" fillId="4" borderId="19" xfId="0" applyFont="1" applyFill="1" applyBorder="1" applyAlignment="1" applyProtection="1">
      <alignment horizontal="center" vertical="center" wrapText="1"/>
      <protection hidden="1"/>
    </xf>
    <xf numFmtId="0" fontId="2" fillId="3" borderId="12" xfId="0" applyFont="1" applyFill="1" applyBorder="1" applyAlignment="1" applyProtection="1">
      <alignment horizontal="left" vertical="center" wrapText="1" indent="2"/>
      <protection hidden="1"/>
    </xf>
    <xf numFmtId="0" fontId="2" fillId="3" borderId="11" xfId="0" applyFont="1" applyFill="1" applyBorder="1" applyAlignment="1" applyProtection="1">
      <alignment horizontal="left" vertical="center" wrapText="1" indent="2"/>
      <protection hidden="1"/>
    </xf>
    <xf numFmtId="0" fontId="14" fillId="4" borderId="0" xfId="0" applyFont="1" applyFill="1" applyAlignment="1" applyProtection="1">
      <alignment horizontal="center" vertical="center" wrapText="1"/>
      <protection hidden="1"/>
    </xf>
    <xf numFmtId="0" fontId="1" fillId="3" borderId="0" xfId="0" applyFont="1" applyFill="1" applyAlignment="1" applyProtection="1">
      <alignment horizontal="left" vertical="center" wrapText="1"/>
      <protection hidden="1"/>
    </xf>
    <xf numFmtId="0" fontId="9" fillId="4" borderId="2" xfId="0" applyFont="1" applyFill="1" applyBorder="1" applyAlignment="1" applyProtection="1">
      <alignment horizontal="left" vertical="top" wrapText="1"/>
      <protection hidden="1"/>
    </xf>
    <xf numFmtId="0" fontId="9" fillId="4" borderId="3" xfId="0" applyFont="1" applyFill="1" applyBorder="1" applyAlignment="1" applyProtection="1">
      <alignment horizontal="left" vertical="top" wrapText="1"/>
      <protection hidden="1"/>
    </xf>
    <xf numFmtId="0" fontId="9" fillId="4" borderId="4" xfId="0" applyFont="1" applyFill="1" applyBorder="1" applyAlignment="1" applyProtection="1">
      <alignment horizontal="left" vertical="top" wrapText="1"/>
      <protection hidden="1"/>
    </xf>
    <xf numFmtId="0" fontId="7" fillId="2" borderId="22" xfId="0" applyFont="1" applyFill="1" applyBorder="1" applyAlignment="1" applyProtection="1">
      <alignment horizontal="left"/>
      <protection locked="0" hidden="1"/>
    </xf>
    <xf numFmtId="0" fontId="7" fillId="2" borderId="23" xfId="0" applyFont="1" applyFill="1" applyBorder="1" applyAlignment="1" applyProtection="1">
      <alignment horizontal="left"/>
      <protection locked="0" hidden="1"/>
    </xf>
  </cellXfs>
  <cellStyles count="2">
    <cellStyle name="Normal" xfId="0" builtinId="0"/>
    <cellStyle name="Normal 2" xfId="1" xr:uid="{00000000-0005-0000-0000-000001000000}"/>
  </cellStyles>
  <dxfs count="5">
    <dxf>
      <font>
        <color theme="9" tint="-0.24994659260841701"/>
      </font>
      <fill>
        <patternFill>
          <bgColor theme="9" tint="-0.24994659260841701"/>
        </patternFill>
      </fill>
      <border>
        <left/>
        <right/>
        <top/>
        <bottom/>
        <vertical/>
        <horizontal/>
      </border>
    </dxf>
    <dxf>
      <font>
        <color theme="9" tint="0.59996337778862885"/>
      </font>
      <fill>
        <patternFill>
          <bgColor theme="9" tint="0.59996337778862885"/>
        </patternFill>
      </fill>
      <border>
        <right/>
        <top style="thin">
          <color auto="1"/>
        </top>
        <vertical/>
        <horizontal/>
      </border>
    </dxf>
    <dxf>
      <font>
        <color rgb="FFFF0000"/>
      </font>
      <fill>
        <patternFill>
          <bgColor theme="0"/>
        </patternFill>
      </fill>
      <border>
        <left style="thin">
          <color auto="1"/>
        </left>
        <right style="thin">
          <color auto="1"/>
        </right>
        <top style="thin">
          <color auto="1"/>
        </top>
        <bottom style="thin">
          <color auto="1"/>
        </bottom>
        <vertical/>
        <horizontal/>
      </border>
    </dxf>
    <dxf>
      <font>
        <color theme="9" tint="-0.24994659260841701"/>
      </font>
      <fill>
        <patternFill>
          <bgColor theme="9" tint="-0.24994659260841701"/>
        </patternFill>
      </fill>
      <border>
        <left/>
        <right/>
        <bottom/>
        <vertical/>
        <horizontal/>
      </border>
    </dxf>
    <dxf>
      <font>
        <color theme="9" tint="-0.24994659260841701"/>
      </font>
      <fill>
        <patternFill>
          <bgColor theme="9" tint="-0.24994659260841701"/>
        </patternFill>
      </fill>
      <border>
        <left/>
        <right/>
        <bottom/>
        <vertical/>
        <horizontal/>
      </border>
    </dxf>
  </dxfs>
  <tableStyles count="0" defaultTableStyle="TableStyleMedium2" defaultPivotStyle="PivotStyleLight16"/>
  <colors>
    <mruColors>
      <color rgb="FF0088EE"/>
      <color rgb="FF71C2FF"/>
      <color rgb="FFF6F9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3</xdr:row>
      <xdr:rowOff>99037</xdr:rowOff>
    </xdr:from>
    <xdr:to>
      <xdr:col>1</xdr:col>
      <xdr:colOff>492162</xdr:colOff>
      <xdr:row>4</xdr:row>
      <xdr:rowOff>53341</xdr:rowOff>
    </xdr:to>
    <xdr:pic>
      <xdr:nvPicPr>
        <xdr:cNvPr id="2" name="Picture 1" descr="X:\Brand\_Brand_Management\Brand_Strategy\_FINALS\_Collateral\Letterhead_NEW_201403\FBM_INT_VERT_RGB_POS.em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228600" y="99037"/>
          <a:ext cx="501687" cy="577238"/>
        </a:xfrm>
        <a:prstGeom prst="rect">
          <a:avLst/>
        </a:prstGeom>
        <a:noFill/>
        <a:ln w="9525">
          <a:noFill/>
          <a:miter lim="800000"/>
          <a:headEnd/>
          <a:tailEnd/>
        </a:ln>
      </xdr:spPr>
    </xdr:pic>
    <xdr:clientData/>
  </xdr:twoCellAnchor>
  <xdr:twoCellAnchor editAs="oneCell">
    <xdr:from>
      <xdr:col>2</xdr:col>
      <xdr:colOff>396240</xdr:colOff>
      <xdr:row>1</xdr:row>
      <xdr:rowOff>259080</xdr:rowOff>
    </xdr:from>
    <xdr:to>
      <xdr:col>2</xdr:col>
      <xdr:colOff>702556</xdr:colOff>
      <xdr:row>1</xdr:row>
      <xdr:rowOff>441591</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a:srcRect l="79558" t="4312" r="3191" b="82752"/>
        <a:stretch/>
      </xdr:blipFill>
      <xdr:spPr>
        <a:xfrm>
          <a:off x="5996940" y="335280"/>
          <a:ext cx="313936" cy="192036"/>
        </a:xfrm>
        <a:prstGeom prst="rect">
          <a:avLst/>
        </a:prstGeom>
      </xdr:spPr>
    </xdr:pic>
    <xdr:clientData/>
  </xdr:twoCellAnchor>
  <xdr:twoCellAnchor editAs="oneCell">
    <xdr:from>
      <xdr:col>2</xdr:col>
      <xdr:colOff>762000</xdr:colOff>
      <xdr:row>0</xdr:row>
      <xdr:rowOff>68580</xdr:rowOff>
    </xdr:from>
    <xdr:to>
      <xdr:col>2</xdr:col>
      <xdr:colOff>1087366</xdr:colOff>
      <xdr:row>1</xdr:row>
      <xdr:rowOff>174891</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2"/>
        <a:srcRect l="2515" t="29979" r="80234" b="57085"/>
        <a:stretch/>
      </xdr:blipFill>
      <xdr:spPr>
        <a:xfrm>
          <a:off x="6362700" y="68580"/>
          <a:ext cx="313936" cy="192036"/>
        </a:xfrm>
        <a:prstGeom prst="rect">
          <a:avLst/>
        </a:prstGeom>
      </xdr:spPr>
    </xdr:pic>
    <xdr:clientData/>
  </xdr:twoCellAnchor>
  <xdr:twoCellAnchor editAs="oneCell">
    <xdr:from>
      <xdr:col>2</xdr:col>
      <xdr:colOff>762000</xdr:colOff>
      <xdr:row>1</xdr:row>
      <xdr:rowOff>259080</xdr:rowOff>
    </xdr:from>
    <xdr:to>
      <xdr:col>2</xdr:col>
      <xdr:colOff>1087366</xdr:colOff>
      <xdr:row>1</xdr:row>
      <xdr:rowOff>441591</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rotWithShape="1">
        <a:blip xmlns:r="http://schemas.openxmlformats.org/officeDocument/2006/relationships" r:embed="rId2"/>
        <a:srcRect l="28140" t="55235" r="54609" b="31829"/>
        <a:stretch/>
      </xdr:blipFill>
      <xdr:spPr>
        <a:xfrm>
          <a:off x="6362700" y="335280"/>
          <a:ext cx="313936" cy="192036"/>
        </a:xfrm>
        <a:prstGeom prst="rect">
          <a:avLst/>
        </a:prstGeom>
      </xdr:spPr>
    </xdr:pic>
    <xdr:clientData/>
  </xdr:twoCellAnchor>
  <xdr:twoCellAnchor editAs="oneCell">
    <xdr:from>
      <xdr:col>2</xdr:col>
      <xdr:colOff>396240</xdr:colOff>
      <xdr:row>1</xdr:row>
      <xdr:rowOff>0</xdr:rowOff>
    </xdr:from>
    <xdr:to>
      <xdr:col>2</xdr:col>
      <xdr:colOff>702556</xdr:colOff>
      <xdr:row>1</xdr:row>
      <xdr:rowOff>192036</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2"/>
        <a:srcRect l="2347" t="80696" r="80402" b="6368"/>
        <a:stretch/>
      </xdr:blipFill>
      <xdr:spPr>
        <a:xfrm>
          <a:off x="5996940" y="76200"/>
          <a:ext cx="313936" cy="19203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W195"/>
  <sheetViews>
    <sheetView showRowColHeaders="0" tabSelected="1" zoomScaleNormal="100" workbookViewId="0">
      <selection activeCell="D2" sqref="D2"/>
    </sheetView>
  </sheetViews>
  <sheetFormatPr defaultColWidth="8.88671875" defaultRowHeight="14.4" x14ac:dyDescent="0.3"/>
  <cols>
    <col min="1" max="1" width="3.5546875" style="1" customWidth="1"/>
    <col min="2" max="2" width="99.33203125" style="4" customWidth="1"/>
    <col min="3" max="3" width="22.21875" style="1" customWidth="1"/>
    <col min="4" max="4" width="25.21875" style="1" customWidth="1"/>
    <col min="5" max="5" width="3.6640625" style="1" customWidth="1"/>
    <col min="6" max="37" width="10.6640625" style="56" customWidth="1"/>
    <col min="38" max="39" width="13.6640625" style="1" customWidth="1"/>
    <col min="40" max="40" width="8.88671875" style="1"/>
    <col min="41" max="42" width="8.88671875" style="71"/>
    <col min="43" max="43" width="8.88671875" style="72"/>
    <col min="44" max="61" width="8.88671875" style="71"/>
    <col min="62" max="62" width="8.88671875" style="72"/>
    <col min="63" max="74" width="0" style="72" hidden="1" customWidth="1"/>
    <col min="75" max="92" width="8.88671875" style="72"/>
    <col min="93" max="16384" width="8.88671875" style="71"/>
  </cols>
  <sheetData>
    <row r="1" spans="1:153" ht="6" customHeight="1" thickBot="1" x14ac:dyDescent="0.35">
      <c r="A1" s="37"/>
      <c r="B1" s="38"/>
      <c r="C1" s="39"/>
      <c r="D1" s="39"/>
      <c r="E1" s="40"/>
    </row>
    <row r="2" spans="1:153" ht="37.799999999999997" customHeight="1" thickBot="1" x14ac:dyDescent="0.35">
      <c r="A2" s="41"/>
      <c r="B2" s="48" t="s">
        <v>74</v>
      </c>
      <c r="C2" s="42"/>
      <c r="D2" s="49"/>
      <c r="E2" s="43"/>
      <c r="BN2" s="108"/>
      <c r="BO2" s="108"/>
      <c r="BP2" s="108"/>
      <c r="BQ2" s="108"/>
      <c r="BS2" s="73" t="e">
        <f>VLOOKUP(C8,$CJ$73:$CJ$80,1,FALSE)</f>
        <v>#N/A</v>
      </c>
      <c r="BT2" s="73" t="s">
        <v>141</v>
      </c>
      <c r="BZ2" s="108"/>
      <c r="CA2" s="108"/>
      <c r="CB2" s="108"/>
      <c r="CL2" s="74" t="s">
        <v>158</v>
      </c>
    </row>
    <row r="3" spans="1:153" ht="6" customHeight="1" thickBot="1" x14ac:dyDescent="0.35">
      <c r="A3" s="44"/>
      <c r="B3" s="45"/>
      <c r="C3" s="46"/>
      <c r="D3" s="46"/>
      <c r="E3" s="47"/>
      <c r="BM3" s="72">
        <v>4</v>
      </c>
      <c r="BN3" s="72">
        <v>3</v>
      </c>
      <c r="BP3" s="72">
        <v>2</v>
      </c>
      <c r="BW3" s="72">
        <v>1</v>
      </c>
    </row>
    <row r="4" spans="1:153" ht="49.5" customHeight="1" x14ac:dyDescent="0.3">
      <c r="A4" s="27"/>
      <c r="B4" s="110" t="str">
        <f>IF(ISBLANK($D$2),"",
IF($D$2=$CJ$4,CO4,
IF($D$2=$CJ$5,CP4,
IF($D$2=$CJ$6,CQ4,
CR4))))</f>
        <v/>
      </c>
      <c r="C4" s="110"/>
      <c r="D4" s="110"/>
      <c r="E4" s="28"/>
      <c r="AZ4" s="72" t="str">
        <f>CJ4</f>
        <v>English</v>
      </c>
      <c r="BA4" s="72" t="s">
        <v>128</v>
      </c>
      <c r="BB4" s="71" t="s">
        <v>19</v>
      </c>
      <c r="BD4" s="75" t="str">
        <f>CJ4</f>
        <v>English</v>
      </c>
      <c r="BE4" s="75" t="str">
        <f>CJ5</f>
        <v>Français</v>
      </c>
      <c r="BF4" s="75" t="str">
        <f>CJ6</f>
        <v>Português</v>
      </c>
      <c r="BG4" s="75" t="str">
        <f>CJ7</f>
        <v>Español</v>
      </c>
      <c r="BK4" s="79">
        <v>2026</v>
      </c>
      <c r="BL4" s="76" t="s">
        <v>15</v>
      </c>
      <c r="BM4" s="76" t="str">
        <f>"CARTON PRICE VALID FOR "&amp;BK4</f>
        <v>CARTON PRICE VALID FOR 2026</v>
      </c>
      <c r="BN4" s="76" t="s">
        <v>172</v>
      </c>
      <c r="BO4" s="76" t="s">
        <v>16</v>
      </c>
      <c r="BP4" s="76" t="str">
        <f>"FOB FMP conv valid for "&amp;BK4</f>
        <v>FOB FMP conv valid for 2026</v>
      </c>
      <c r="BQ4" s="76" t="str">
        <f>"FOB FMP org valid for "&amp;BK4</f>
        <v>FOB FMP org valid for 2026</v>
      </c>
      <c r="BR4" s="77" t="s">
        <v>7</v>
      </c>
      <c r="BS4" s="78"/>
      <c r="BT4" s="78"/>
      <c r="BU4" s="78"/>
      <c r="BV4" s="76" t="s">
        <v>14</v>
      </c>
      <c r="BW4" s="76" t="str">
        <f>"EXW FMP conv valid for "&amp;BK4</f>
        <v>EXW FMP conv valid for 2026</v>
      </c>
      <c r="BX4" s="76" t="str">
        <f>"EXW FMP org valid for "&amp;BK4</f>
        <v>EXW FMP org valid for 2026</v>
      </c>
      <c r="BY4" s="79"/>
      <c r="BZ4" s="78" t="str">
        <f>"FOB-EXW diff conv valid for "&amp;BK4</f>
        <v>FOB-EXW diff conv valid for 2026</v>
      </c>
      <c r="CA4" s="78" t="str">
        <f>"FOB-EXW diff org valid for "&amp;BK4</f>
        <v>FOB-EXW diff org valid for 2026</v>
      </c>
      <c r="CB4" s="78" t="s">
        <v>115</v>
      </c>
      <c r="CH4" s="80" t="s">
        <v>19</v>
      </c>
      <c r="CI4" s="80"/>
      <c r="CJ4" s="80" t="s">
        <v>75</v>
      </c>
      <c r="CK4" s="81" t="s">
        <v>147</v>
      </c>
      <c r="CL4" s="80" t="e">
        <f>HLOOKUP(C8,$CO$62:$CW$64,2,FALSE)</f>
        <v>#N/A</v>
      </c>
      <c r="CM4" s="80"/>
      <c r="CN4" s="80"/>
      <c r="CO4" s="71" t="str">
        <f>"PRORATE OF FAIRTRADE MINIMUM PRICES AND PREMIUM
THAT ARE VALID FOR "&amp;$BK$4&amp;" FOR SPECIAL CARDBOAR BOX"</f>
        <v>PRORATE OF FAIRTRADE MINIMUM PRICES AND PREMIUM
THAT ARE VALID FOR 2026 FOR SPECIAL CARDBOAR BOX</v>
      </c>
      <c r="CP4" s="71" t="str">
        <f>"AU PRORATA DES PRIX MINIMUMS ET DE LA PRIME DU COMMERCE ÉQUITABLE 
QUI SONT VALABLES POUR "&amp;$BK$4&amp;" POUR LES CAISSES DE CARTON SPÉCIALES"</f>
        <v>AU PRORATA DES PRIX MINIMUMS ET DE LA PRIME DU COMMERCE ÉQUITABLE 
QUI SONT VALABLES POUR 2026 POUR LES CAISSES DE CARTON SPÉCIALES</v>
      </c>
      <c r="CQ4" s="71" t="str">
        <f>"PREÇOS MÍNIMOS DE COMÉRCIO JUSTO E PRÉMIO PROPORCIONAL
QUE SÃO VÁLIDOS PARA "&amp;$BK$4&amp;" PARA CAIXA ESPECIAL"</f>
        <v>PREÇOS MÍNIMOS DE COMÉRCIO JUSTO E PRÉMIO PROPORCIONAL
QUE SÃO VÁLIDOS PARA 2026 PARA CAIXA ESPECIAL</v>
      </c>
      <c r="CR4" s="71" t="str">
        <f>"PRORRATEO DE PRECIOS MÍNIMOS Y PRIMA FAIRTRADE 
VIGENTES PARA EL AÑO "&amp;$BK$4&amp;" PARA CAJA DE CARTÓN ESPECIAL"</f>
        <v>PRORRATEO DE PRECIOS MÍNIMOS Y PRIMA FAIRTRADE 
VIGENTES PARA EL AÑO 2026 PARA CAJA DE CARTÓN ESPECIAL</v>
      </c>
      <c r="CS4" s="80"/>
      <c r="CT4" s="80"/>
      <c r="CU4" s="80"/>
      <c r="CV4" s="80"/>
      <c r="CW4" s="80"/>
      <c r="CX4" s="80"/>
      <c r="CY4" s="80"/>
      <c r="CZ4" s="80"/>
      <c r="DA4" s="80"/>
      <c r="DB4" s="80"/>
      <c r="DC4" s="80"/>
      <c r="DD4" s="80"/>
      <c r="DE4" s="80"/>
      <c r="DF4" s="80"/>
      <c r="DG4" s="80"/>
      <c r="DH4" s="80"/>
      <c r="DI4" s="80"/>
      <c r="DJ4" s="80"/>
      <c r="DK4" s="80"/>
      <c r="DL4" s="80"/>
      <c r="DM4" s="80"/>
      <c r="DN4" s="80"/>
      <c r="DO4" s="80"/>
      <c r="DP4" s="80"/>
      <c r="DQ4" s="80"/>
      <c r="DR4" s="80"/>
      <c r="DS4" s="80"/>
      <c r="DT4" s="80"/>
      <c r="DU4" s="80"/>
      <c r="DV4" s="80"/>
      <c r="EB4" s="80"/>
      <c r="EC4" s="80"/>
      <c r="ED4" s="80"/>
      <c r="EE4" s="80"/>
      <c r="EF4" s="80"/>
      <c r="EG4" s="80"/>
      <c r="EH4" s="80"/>
      <c r="EI4" s="80"/>
      <c r="EJ4" s="80"/>
      <c r="EK4" s="80"/>
      <c r="EL4" s="80"/>
      <c r="EM4" s="80"/>
      <c r="EN4" s="80"/>
      <c r="EO4" s="80"/>
      <c r="EP4" s="80"/>
      <c r="EQ4" s="80"/>
      <c r="ER4" s="80"/>
      <c r="ES4" s="80"/>
      <c r="ET4" s="80"/>
      <c r="EU4" s="80"/>
      <c r="EV4" s="80"/>
      <c r="EW4" s="80"/>
    </row>
    <row r="5" spans="1:153" ht="9" customHeight="1" x14ac:dyDescent="0.3">
      <c r="A5" s="29"/>
      <c r="B5" s="25"/>
      <c r="C5" s="25"/>
      <c r="D5" s="25"/>
      <c r="E5" s="30"/>
      <c r="AZ5" s="72" t="str">
        <f>CJ5</f>
        <v>Français</v>
      </c>
      <c r="BA5" s="72" t="s">
        <v>129</v>
      </c>
      <c r="BB5" s="71" t="s">
        <v>19</v>
      </c>
      <c r="BD5" s="72" t="str">
        <f>"This tool is for prorating the country specific Fairtrade Minimum Prices for banana, which are set for an standard carton box of 18.14 kg and valid for "&amp;BK4&amp;". "</f>
        <v xml:space="preserve">This tool is for prorating the country specific Fairtrade Minimum Prices for banana, which are set for an standard carton box of 18.14 kg and valid for 2026. </v>
      </c>
      <c r="BE5" s="72" t="str">
        <f>"Cet outil est utilisé pour calculer au prorata les prix minimums du commerce équitable pour les bananes, pour des pays spécifiques, fixés pour la boîte en carton standard de 18.14 kg, qui sont valables pendant "&amp;BK4&amp;". "</f>
        <v xml:space="preserve">Cet outil est utilisé pour calculer au prorata les prix minimums du commerce équitable pour les bananes, pour des pays spécifiques, fixés pour la boîte en carton standard de 18.14 kg, qui sont valables pendant 2026. </v>
      </c>
      <c r="BF5" s="72" t="str">
        <f>"Esta ferramenta é utilizada para avaliar os Preços Mínimos de Comércio Justo para bananas, para países específicos, estabelecidos para a caixa de cartão padrão de 18.14 kg, que são válidos para "&amp;BK4&amp;". "</f>
        <v xml:space="preserve">Esta ferramenta é utilizada para avaliar os Preços Mínimos de Comércio Justo para bananas, para países específicos, estabelecidos para a caixa de cartão padrão de 18.14 kg, que são válidos para 2026. </v>
      </c>
      <c r="BG5" s="72" t="str">
        <f>"Esta herramienta sirve para prorratear los Precios Mínimos Fairtrade de banano, para países específicos, establecidos para la caja de cartón estándar de 18.14 kg y que son válidos para "&amp;BK4&amp;"."</f>
        <v>Esta herramienta sirve para prorratear los Precios Mínimos Fairtrade de banano, para países específicos, establecidos para la caja de cartón estándar de 18.14 kg y que son válidos para 2026.</v>
      </c>
      <c r="BI5" s="71" t="str">
        <f t="shared" ref="BI5:BI10" si="0">BL5</f>
        <v/>
      </c>
      <c r="BJ5" s="72" t="str">
        <f>IF(ISBLANK($D$2),"",
IF($D$2=$CJ$4,BD5,
IF($D$2=$CJ$5,BE5,
IF($D$2=$CJ$6,BF5,
BG5))))</f>
        <v/>
      </c>
      <c r="BL5" s="82" t="str">
        <f t="shared" ref="BL5:BL13" si="1">IF(ISBLANK($D$2),"",
IF($D$2=$CJ$4,BD11,
IF($D$2=$CJ$5,BE11,
IF($D$2=$CJ$6,BF11,
BG11))))</f>
        <v/>
      </c>
      <c r="BM5" s="83">
        <f>1.58*0+2.13*0+2.25*0+1.7*0+1.7*0+1.7</f>
        <v>1.7</v>
      </c>
      <c r="BN5" s="82" t="s">
        <v>173</v>
      </c>
      <c r="BO5" s="82" t="str">
        <f t="shared" ref="BO5:BO11" si="2">IF($D$2=$CJ$4,$BD$20,
IF($D$2=$CJ$5,$BE$20,
IF($D$2=$CJ$6,$BF$20,
$BG$20)))</f>
        <v>sin incluir</v>
      </c>
      <c r="BP5" s="106">
        <f>9.9*0+10.7*0+11.5*0+1*0+11.4</f>
        <v>11.4</v>
      </c>
      <c r="BQ5" s="83"/>
      <c r="BR5" s="82" t="str">
        <f xml:space="preserve">
IF(ISERROR(VLOOKUP(C8,$CJ$73:$CJ$80,1,FALSE)),"",
IF(ISBLANK($D$2),"",
IF($D$2=$CJ$4,$BD$21,
IF($D$2=$CJ$5,$BE$21,
IF($D$2=$CJ$6,$BF$21,
$BG$21)))))</f>
        <v/>
      </c>
      <c r="BS5" s="83" t="str">
        <f>BL5</f>
        <v/>
      </c>
      <c r="BT5" s="82"/>
      <c r="BU5" s="84"/>
      <c r="BV5" s="82" t="s">
        <v>2</v>
      </c>
      <c r="BW5" s="106">
        <f>6.85*0+7*0+7.5*0+7.75*0+7.9</f>
        <v>7.9</v>
      </c>
      <c r="BX5" s="83"/>
      <c r="BY5" s="83" t="str">
        <f>BL5</f>
        <v/>
      </c>
      <c r="BZ5" s="83"/>
      <c r="CA5" s="83"/>
      <c r="CB5" s="82"/>
      <c r="CD5" s="72">
        <f>4.8*0+5.43*0+4.7*0</f>
        <v>0</v>
      </c>
      <c r="CJ5" s="72" t="s">
        <v>77</v>
      </c>
      <c r="CK5" s="81" t="s">
        <v>148</v>
      </c>
      <c r="CL5" s="72" t="e">
        <f>IF(HLOOKUP(C8,$CO$62:$CW$64,3,FALSE)=0,"",HLOOKUP(C8,$CO$62:$CW$64,3,FALSE))</f>
        <v>#N/A</v>
      </c>
      <c r="CM5" s="80" t="s">
        <v>19</v>
      </c>
    </row>
    <row r="6" spans="1:153" ht="105" customHeight="1" x14ac:dyDescent="0.3">
      <c r="A6" s="29"/>
      <c r="B6" s="114" t="str">
        <f>BJ5&amp;BJ6&amp;" "&amp;BJ7&amp;"
"&amp;BJ8</f>
        <v xml:space="preserve"> 
</v>
      </c>
      <c r="C6" s="114"/>
      <c r="D6" s="114"/>
      <c r="E6" s="30"/>
      <c r="AO6" s="85" t="s">
        <v>80</v>
      </c>
      <c r="AQ6" s="80" t="s">
        <v>79</v>
      </c>
      <c r="AR6" s="85"/>
      <c r="AS6" s="85"/>
      <c r="AV6" s="85"/>
      <c r="AW6" s="85"/>
      <c r="AZ6" s="72" t="str">
        <f>CJ6</f>
        <v>Português</v>
      </c>
      <c r="BA6" s="72" t="s">
        <v>130</v>
      </c>
      <c r="BB6" s="71" t="s">
        <v>19</v>
      </c>
      <c r="BD6" s="72" t="s">
        <v>164</v>
      </c>
      <c r="BE6" s="72" t="s">
        <v>165</v>
      </c>
      <c r="BF6" s="72" t="s">
        <v>166</v>
      </c>
      <c r="BG6" s="72" t="s">
        <v>167</v>
      </c>
      <c r="BI6" s="71" t="str">
        <f t="shared" si="0"/>
        <v/>
      </c>
      <c r="BJ6" s="72" t="str">
        <f>IF(ISBLANK($D$2),"",
IF($D$2=$CJ$4,BD6,
IF($D$2=$CJ$5,BE6,
IF($D$2=$CJ$6,BF6,
BG6))))</f>
        <v/>
      </c>
      <c r="BL6" s="82" t="str">
        <f t="shared" si="1"/>
        <v/>
      </c>
      <c r="BM6" s="83">
        <f>1.55*0+1.88*0+1.93*0+1.95*0+1.85*0+1.75</f>
        <v>1.75</v>
      </c>
      <c r="BN6" s="82" t="s">
        <v>109</v>
      </c>
      <c r="BO6" s="82" t="str">
        <f t="shared" si="2"/>
        <v>sin incluir</v>
      </c>
      <c r="BP6" s="83"/>
      <c r="BQ6" s="106">
        <f>12.35*0+12.85*0+13.95*0+13.8*0+13.95</f>
        <v>13.95</v>
      </c>
      <c r="BR6" s="82" t="str">
        <f xml:space="preserve">
IF(ISERROR(VLOOKUP(C8,$CK$73:$CK$80,1,FALSE)),"",
IF(ISBLANK($D$2),"",
IF($D$2=$CJ$4,$BD$22,
IF($D$2=$CJ$5,$BE$22,
IF($D$2=$CJ$6,$BF$22,
$BG$22)))))</f>
        <v/>
      </c>
      <c r="BS6" s="83" t="str">
        <f>BL6</f>
        <v/>
      </c>
      <c r="BT6" s="82"/>
      <c r="BU6" s="82"/>
      <c r="BV6" s="82" t="s">
        <v>13</v>
      </c>
      <c r="BW6" s="83"/>
      <c r="BX6" s="106">
        <f>8.95*0+9.05*0+9.55*0+9.7*0+9.8</f>
        <v>9.8000000000000007</v>
      </c>
      <c r="BY6" s="83" t="str">
        <f>BL6</f>
        <v/>
      </c>
      <c r="BZ6" s="83"/>
      <c r="CA6" s="83"/>
      <c r="CB6" s="82"/>
      <c r="CE6" s="86" t="str">
        <f>CJ4</f>
        <v>English</v>
      </c>
      <c r="CF6" s="86" t="str">
        <f>CJ5</f>
        <v>Français</v>
      </c>
      <c r="CG6" s="86" t="str">
        <f>CJ6</f>
        <v>Português</v>
      </c>
      <c r="CH6" s="86" t="str">
        <f>CJ7</f>
        <v>Español</v>
      </c>
      <c r="CJ6" s="72" t="s">
        <v>76</v>
      </c>
      <c r="CK6" s="72" t="s">
        <v>19</v>
      </c>
      <c r="CL6" s="72" t="e">
        <f>IF(HLOOKUP(C8,$CO$62:$CW$65,4,FALSE)=0,"",HLOOKUP(C8,$CO$62:$CW$65,4,FALSE))</f>
        <v>#N/A</v>
      </c>
      <c r="CM6" s="80"/>
      <c r="CN6" s="72">
        <v>1</v>
      </c>
      <c r="CO6" s="71" t="str">
        <f>CJ4</f>
        <v>English</v>
      </c>
      <c r="CP6" s="71" t="str">
        <f>CJ5</f>
        <v>Français</v>
      </c>
      <c r="CQ6" s="71" t="str">
        <f>CJ6</f>
        <v>Português</v>
      </c>
      <c r="CR6" s="71" t="str">
        <f>CJ7</f>
        <v>Español</v>
      </c>
    </row>
    <row r="7" spans="1:153" ht="6.6" customHeight="1" x14ac:dyDescent="0.3">
      <c r="A7" s="29"/>
      <c r="B7" s="25"/>
      <c r="C7" s="25"/>
      <c r="D7" s="25"/>
      <c r="E7" s="30"/>
      <c r="AR7" s="85"/>
      <c r="AS7" s="85"/>
      <c r="AZ7" s="72" t="str">
        <f>CJ7</f>
        <v>Español</v>
      </c>
      <c r="BA7" s="72" t="s">
        <v>131</v>
      </c>
      <c r="BB7" s="71" t="s">
        <v>19</v>
      </c>
      <c r="BD7" s="72" t="s">
        <v>23</v>
      </c>
      <c r="BE7" s="72" t="s">
        <v>63</v>
      </c>
      <c r="BF7" s="72" t="s">
        <v>64</v>
      </c>
      <c r="BG7" s="72" t="s">
        <v>31</v>
      </c>
      <c r="BI7" s="71" t="str">
        <f t="shared" si="0"/>
        <v/>
      </c>
      <c r="BJ7" s="72" t="str">
        <f>IF(ISBLANK($D$2),"",
IF($D$2=$CJ$4,BD7,
IF($D$2=$CJ$5,BE7,
IF($D$2=$CJ$6,BF7,
BG7))))</f>
        <v/>
      </c>
      <c r="BL7" s="82" t="str">
        <f t="shared" si="1"/>
        <v/>
      </c>
      <c r="BM7" s="83">
        <f>1.14*0+1.53*0+1.85*0+1.74*0+1.65*0+1.55</f>
        <v>1.55</v>
      </c>
      <c r="BN7" s="82" t="str">
        <f>IF(BN16=BH23,"Santa Marta","Turbo/Santa Marta")</f>
        <v>Turbo/Santa Marta</v>
      </c>
      <c r="BO7" s="82" t="str">
        <f t="shared" si="2"/>
        <v>sin incluir</v>
      </c>
      <c r="BP7" s="106">
        <f>9.8*0+10.2*0+11.2*0+11.4*0+11.55</f>
        <v>11.55</v>
      </c>
      <c r="BQ7" s="106">
        <f>13.5*0+13.75*0+13.9</f>
        <v>13.9</v>
      </c>
      <c r="BR7" s="82"/>
      <c r="BS7" s="83" t="str">
        <f>BL7</f>
        <v/>
      </c>
      <c r="BT7" s="82"/>
      <c r="BU7" s="82"/>
      <c r="BV7" s="82"/>
      <c r="BW7" s="106">
        <f>7.2*0+7.3*0+7.7*0+8*0+8.25</f>
        <v>8.25</v>
      </c>
      <c r="BX7" s="106">
        <f>9.9*0+10.25*0+10.5</f>
        <v>10.5</v>
      </c>
      <c r="BY7" s="83" t="str">
        <f>BL7</f>
        <v/>
      </c>
      <c r="BZ7" s="83"/>
      <c r="CA7" s="83"/>
      <c r="CB7" s="82"/>
      <c r="CJ7" s="72" t="s">
        <v>329</v>
      </c>
      <c r="CM7" s="80"/>
      <c r="CN7" s="72">
        <f>CN6+1</f>
        <v>2</v>
      </c>
    </row>
    <row r="8" spans="1:153" ht="15.6" x14ac:dyDescent="0.3">
      <c r="A8" s="29"/>
      <c r="B8" s="26" t="str">
        <f>IF(ISBLANK($D$2),"",
CS8)</f>
        <v/>
      </c>
      <c r="C8" s="109"/>
      <c r="D8" s="109"/>
      <c r="E8" s="30"/>
      <c r="AO8" s="71" t="e">
        <f>VLOOKUP(D2&amp;C8,$AY$15:$AY$58,1,FALSE)</f>
        <v>#N/A</v>
      </c>
      <c r="AP8" s="71" t="b">
        <f>ISERROR(AO8)</f>
        <v>1</v>
      </c>
      <c r="AQ8" s="74" t="b">
        <f>IF(AND(AP8=FALSE,AP9=FALSE,AP10=TRUE),FALSE,TRUE)</f>
        <v>1</v>
      </c>
      <c r="AR8" s="85"/>
      <c r="AS8" s="85"/>
      <c r="AV8" s="87"/>
      <c r="AW8" s="87"/>
      <c r="AZ8" s="72"/>
      <c r="BD8" s="72" t="s">
        <v>20</v>
      </c>
      <c r="BE8" s="72" t="s">
        <v>66</v>
      </c>
      <c r="BF8" s="71" t="s">
        <v>65</v>
      </c>
      <c r="BG8" s="72" t="s">
        <v>81</v>
      </c>
      <c r="BI8" s="71" t="str">
        <f t="shared" si="0"/>
        <v/>
      </c>
      <c r="BJ8" s="72" t="str">
        <f>IF(ISBLANK($D$2),"",
IF($D$2=$CJ$4,BD8,
IF($D$2=$CJ$5,BE8,
IF($D$2=$CJ$6,BF8,
BG8))))</f>
        <v/>
      </c>
      <c r="BL8" s="82" t="str">
        <f t="shared" si="1"/>
        <v/>
      </c>
      <c r="BM8" s="83">
        <f>1.35*0+1.9*0+2.22*0+1.85*0+1.45*0+1.42</f>
        <v>1.42</v>
      </c>
      <c r="BN8" s="82" t="s">
        <v>110</v>
      </c>
      <c r="BO8" s="82" t="str">
        <f t="shared" si="2"/>
        <v>sin incluir</v>
      </c>
      <c r="BP8" s="106">
        <f>9.35*0+10.05*0+11.05*0+10.9*0+11.05</f>
        <v>11.05</v>
      </c>
      <c r="BQ8" s="106">
        <f>12.2*0+12.85*0+13.8*0+13.7*0+13.85</f>
        <v>13.85</v>
      </c>
      <c r="BR8" s="82"/>
      <c r="BS8" s="83" t="str">
        <f>BL8</f>
        <v/>
      </c>
      <c r="BT8" s="82"/>
      <c r="BU8" s="82"/>
      <c r="BV8" s="82"/>
      <c r="BW8" s="106">
        <f>6.55*0+6.65*0+7.05*0+7.1*0+7.25</f>
        <v>7.25</v>
      </c>
      <c r="BX8" s="106">
        <f>9.3*0+9.35*0+9.7*0+9.75*0+9.95</f>
        <v>9.9499999999999993</v>
      </c>
      <c r="BY8" s="83" t="str">
        <f>BL8</f>
        <v/>
      </c>
      <c r="BZ8" s="106">
        <f>3.85*0+4.44*0+4.12*0+4.12</f>
        <v>4.12</v>
      </c>
      <c r="CA8" s="106">
        <f>3.95*0+4.54*0+4.27*0+4.22</f>
        <v>4.22</v>
      </c>
      <c r="CB8" s="82" t="str">
        <f>IF($D$2=$CJ$4,CE8,
IF($D$2=$CJ$5,CF8,
IF($D$2=$CJ$6,CG8,
CH8)))</f>
        <v>Guayaquil (llegando a puerto desde Machala)</v>
      </c>
      <c r="CE8" s="79" t="s">
        <v>150</v>
      </c>
      <c r="CF8" s="79" t="s">
        <v>154</v>
      </c>
      <c r="CG8" s="79" t="s">
        <v>156</v>
      </c>
      <c r="CH8" s="79" t="s">
        <v>152</v>
      </c>
      <c r="CI8" s="79" t="s">
        <v>19</v>
      </c>
      <c r="CN8" s="72">
        <f t="shared" ref="CN8:CN29" si="3">CN7+1</f>
        <v>3</v>
      </c>
      <c r="CO8" s="71" t="s">
        <v>17</v>
      </c>
      <c r="CP8" s="71" t="s">
        <v>50</v>
      </c>
      <c r="CQ8" s="71" t="s">
        <v>52</v>
      </c>
      <c r="CR8" s="71" t="s">
        <v>24</v>
      </c>
      <c r="CS8" s="93" t="e">
        <f t="shared" ref="CS8:CS10" si="4">HLOOKUP($D$2,$CO$6:$CR$29,CN8,FALSE)</f>
        <v>#N/A</v>
      </c>
    </row>
    <row r="9" spans="1:153" ht="15.6" x14ac:dyDescent="0.3">
      <c r="A9" s="29"/>
      <c r="B9" s="26" t="str">
        <f>IF(ISBLANK($D$2),"",
CS9)</f>
        <v/>
      </c>
      <c r="C9" s="109"/>
      <c r="D9" s="109"/>
      <c r="E9" s="30"/>
      <c r="AO9" s="71" t="e">
        <f>VLOOKUP(D2&amp;C9,$AY$15:$AY$58,1,FALSE)</f>
        <v>#N/A</v>
      </c>
      <c r="AP9" s="71" t="b">
        <f>ISERROR(AO9)</f>
        <v>1</v>
      </c>
      <c r="AR9" s="85"/>
      <c r="AS9" s="85"/>
      <c r="AU9" s="71" t="s">
        <v>19</v>
      </c>
      <c r="AZ9" s="72"/>
      <c r="BD9" s="72"/>
      <c r="BG9" s="72"/>
      <c r="BI9" s="71" t="str">
        <f t="shared" si="0"/>
        <v/>
      </c>
      <c r="BL9" s="82" t="str">
        <f t="shared" si="1"/>
        <v/>
      </c>
      <c r="BM9" s="82">
        <v>1.68</v>
      </c>
      <c r="BN9" s="82" t="s">
        <v>174</v>
      </c>
      <c r="BO9" s="82"/>
      <c r="BP9" s="83"/>
      <c r="BQ9" s="83"/>
      <c r="BR9" s="82"/>
      <c r="BS9" s="83"/>
      <c r="BT9" s="82"/>
      <c r="BU9" s="82"/>
      <c r="BV9" s="82"/>
      <c r="BW9" s="106"/>
      <c r="BX9" s="83"/>
      <c r="BY9" s="83"/>
      <c r="BZ9" s="106">
        <f>3.88*0+3.88</f>
        <v>3.88</v>
      </c>
      <c r="CA9" s="106">
        <f>4.03*0+3.98</f>
        <v>3.98</v>
      </c>
      <c r="CB9" s="82" t="str">
        <f>IF($D$2=$CJ$4,CE9,
IF($D$2=$CJ$5,CF9,
IF($D$2=$CJ$6,CG9,
CH9)))</f>
        <v>Guayaquil/Posorja (llegando a puerto desde Santa Elena)</v>
      </c>
      <c r="CE9" s="79" t="s">
        <v>151</v>
      </c>
      <c r="CF9" s="79" t="s">
        <v>155</v>
      </c>
      <c r="CG9" s="79" t="s">
        <v>157</v>
      </c>
      <c r="CH9" s="79" t="s">
        <v>153</v>
      </c>
      <c r="CI9" s="79" t="s">
        <v>19</v>
      </c>
      <c r="CN9" s="72">
        <f t="shared" si="3"/>
        <v>4</v>
      </c>
      <c r="CO9" s="71" t="s">
        <v>18</v>
      </c>
      <c r="CP9" s="71" t="s">
        <v>51</v>
      </c>
      <c r="CQ9" s="71" t="s">
        <v>53</v>
      </c>
      <c r="CR9" s="71" t="s">
        <v>25</v>
      </c>
      <c r="CS9" s="93" t="e">
        <f t="shared" si="4"/>
        <v>#N/A</v>
      </c>
    </row>
    <row r="10" spans="1:153" ht="15.6" x14ac:dyDescent="0.3">
      <c r="A10" s="29"/>
      <c r="B10" s="26" t="str">
        <f>IF(ISBLANK($D$2),"",
CS10)</f>
        <v/>
      </c>
      <c r="C10" s="118"/>
      <c r="D10" s="119"/>
      <c r="E10" s="30"/>
      <c r="AO10" s="71" t="str">
        <f>C8&amp;C10</f>
        <v/>
      </c>
      <c r="AP10" s="71" t="b">
        <f>IF(ISBLANK(C10),FALSE,
IF(ISERROR(OR(C10=CL4,C10=CL5,C10=CL6)),FALSE,
OR(C10=CL4,C10=CL5,C10=CL6)))</f>
        <v>0</v>
      </c>
      <c r="AR10" s="85"/>
      <c r="AS10" s="85"/>
      <c r="AZ10" s="72"/>
      <c r="BD10" s="72"/>
      <c r="BG10" s="72"/>
      <c r="BI10" s="71" t="str">
        <f t="shared" si="0"/>
        <v/>
      </c>
      <c r="BL10" s="82" t="str">
        <f t="shared" si="1"/>
        <v/>
      </c>
      <c r="BM10" s="83">
        <f>1.74*0+1.99*0+1.74*0+1.4*0+1.24</f>
        <v>1.24</v>
      </c>
      <c r="BN10" s="82" t="s">
        <v>111</v>
      </c>
      <c r="BO10" s="82" t="str">
        <f t="shared" si="2"/>
        <v>sin incluir</v>
      </c>
      <c r="BP10" s="106">
        <f>9.35*0+10.3*0+10.4*0+10.9</f>
        <v>10.9</v>
      </c>
      <c r="BQ10" s="106">
        <f>12.25*0+12.95*0+13.05*0+13.7</f>
        <v>13.7</v>
      </c>
      <c r="BR10" s="82"/>
      <c r="BS10" s="83" t="str">
        <f>BL10</f>
        <v/>
      </c>
      <c r="BT10" s="82"/>
      <c r="BU10" s="82"/>
      <c r="BV10" s="82"/>
      <c r="BW10" s="106">
        <f>6.9*0+7.4*0+7.45*0+8.1</f>
        <v>8.1</v>
      </c>
      <c r="BX10" s="106">
        <f>9.8*0+10.05*0+10.1*0+10.9</f>
        <v>10.9</v>
      </c>
      <c r="BY10" s="83" t="str">
        <f>BL10</f>
        <v/>
      </c>
      <c r="BZ10" s="83"/>
      <c r="CA10" s="83"/>
      <c r="CB10" s="82"/>
      <c r="CN10" s="72">
        <f t="shared" si="3"/>
        <v>5</v>
      </c>
      <c r="CO10" s="71" t="s">
        <v>118</v>
      </c>
      <c r="CP10" s="71" t="s">
        <v>118</v>
      </c>
      <c r="CQ10" s="71" t="s">
        <v>119</v>
      </c>
      <c r="CR10" s="71" t="s">
        <v>117</v>
      </c>
      <c r="CS10" s="93" t="e">
        <f t="shared" si="4"/>
        <v>#N/A</v>
      </c>
      <c r="CW10" s="71" t="str">
        <f>CO6</f>
        <v>English</v>
      </c>
      <c r="CX10" s="71" t="str">
        <f t="shared" ref="CX10:CZ10" si="5">CP6</f>
        <v>Français</v>
      </c>
      <c r="CY10" s="71" t="str">
        <f t="shared" si="5"/>
        <v>Português</v>
      </c>
      <c r="CZ10" s="71" t="str">
        <f t="shared" si="5"/>
        <v>Español</v>
      </c>
    </row>
    <row r="11" spans="1:153" ht="5.4" customHeight="1" x14ac:dyDescent="0.3">
      <c r="A11" s="29"/>
      <c r="B11" s="36"/>
      <c r="C11" s="35" t="s">
        <v>2</v>
      </c>
      <c r="D11" s="35"/>
      <c r="E11" s="30"/>
      <c r="AR11" s="85"/>
      <c r="AS11" s="85"/>
      <c r="AZ11" s="80"/>
      <c r="BD11" s="88" t="s">
        <v>4</v>
      </c>
      <c r="BE11" s="89" t="s">
        <v>4</v>
      </c>
      <c r="BF11" s="89" t="s">
        <v>35</v>
      </c>
      <c r="BG11" s="89" t="s">
        <v>35</v>
      </c>
      <c r="BI11" s="71" t="str">
        <f t="shared" ref="BI11:BI13" si="6">BL11</f>
        <v/>
      </c>
      <c r="BL11" s="82" t="str">
        <f t="shared" si="1"/>
        <v/>
      </c>
      <c r="BM11" s="83">
        <f>1.75*0+2.05*0+2.55*0+2.38*0+2.09*0+2.05</f>
        <v>2.0499999999999998</v>
      </c>
      <c r="BN11" s="82" t="s">
        <v>112</v>
      </c>
      <c r="BO11" s="82" t="str">
        <f t="shared" si="2"/>
        <v>sin incluir</v>
      </c>
      <c r="BP11" s="106">
        <f>11*0+11.7*0+12.55*0+12.45*0+12.6</f>
        <v>12.6</v>
      </c>
      <c r="BQ11" s="106">
        <f>13.6*0+14.2*0+14.9*0+14.9*0+15.05</f>
        <v>15.05</v>
      </c>
      <c r="BR11" s="82"/>
      <c r="BS11" s="83" t="str">
        <f>BL11</f>
        <v/>
      </c>
      <c r="BT11" s="82"/>
      <c r="BU11" s="82"/>
      <c r="BV11" s="82"/>
      <c r="BW11" s="106">
        <f>7.15*0+7.3*0+7.75*0+7.85*0+8.15</f>
        <v>8.15</v>
      </c>
      <c r="BX11" s="106">
        <f>9.75*0+9.8*0+10.1*0+10.3*0+10.6</f>
        <v>10.6</v>
      </c>
      <c r="BY11" s="83" t="str">
        <f>BL11</f>
        <v/>
      </c>
      <c r="BZ11" s="106">
        <f>4.45*0+4.87*0+4.57*0+4.4</f>
        <v>4.4000000000000004</v>
      </c>
      <c r="CA11" s="106">
        <f>4.45*0+4.87*0+4.57*0+4.4</f>
        <v>4.4000000000000004</v>
      </c>
      <c r="CB11" s="82" t="s">
        <v>116</v>
      </c>
      <c r="CN11" s="72">
        <f t="shared" si="3"/>
        <v>6</v>
      </c>
    </row>
    <row r="12" spans="1:153" ht="66" customHeight="1" x14ac:dyDescent="0.3">
      <c r="A12" s="29"/>
      <c r="B12" s="113" t="str">
        <f>IF(OR(ISBLANK($D$2),ISBLANK($C$8),ISBLANK($C$9)),"",
IF(BN96,BH40,
IF(BN100,BH40,
IF(BN103,BH41,
IF(BN104,BH41,
IF(ISBLANK(C10),"",
IF(BN99,BH42,
IF(BN106,BH42,
IF(BN112,BH43,
IF(BN115,BH44,""))))))))))</f>
        <v/>
      </c>
      <c r="C12" s="113"/>
      <c r="D12" s="113"/>
      <c r="E12" s="30"/>
      <c r="G12" s="57"/>
      <c r="H12" s="57"/>
      <c r="AO12" s="71" t="b">
        <f>IF(OR(B12=CW12,B12=CX12,B12=CY12,B12=CZ12,B12=BA4,B12=BA5,B12=BA6,B12=BA7),TRUE,FALSE)</f>
        <v>0</v>
      </c>
      <c r="AR12" s="85"/>
      <c r="AZ12" s="72"/>
      <c r="BD12" s="88" t="s">
        <v>5</v>
      </c>
      <c r="BE12" s="89" t="s">
        <v>38</v>
      </c>
      <c r="BF12" s="89" t="s">
        <v>5</v>
      </c>
      <c r="BG12" s="89" t="s">
        <v>36</v>
      </c>
      <c r="BI12" s="71" t="str">
        <f t="shared" si="6"/>
        <v/>
      </c>
      <c r="BL12" s="82" t="str">
        <f t="shared" si="1"/>
        <v/>
      </c>
      <c r="BM12" s="83">
        <f>1.34*0+1.33*0+1.59*0+1.9*0+1.65*0+1.39</f>
        <v>1.39</v>
      </c>
      <c r="BN12" s="82" t="s">
        <v>113</v>
      </c>
      <c r="BO12" s="82" t="str">
        <f>IF($D$2=$CJ$4,$BD$20,
IF($D$2=$CJ$5,$BE$20,
IF($D$2=$CJ$6,$BF$20,
$BG$20)))</f>
        <v>sin incluir</v>
      </c>
      <c r="BP12" s="106">
        <f>9.4*0+9.9*0+10.35*0+10.85*0+10.85</f>
        <v>10.85</v>
      </c>
      <c r="BQ12" s="83"/>
      <c r="BR12" s="82"/>
      <c r="BS12" s="83" t="str">
        <f>BL12</f>
        <v/>
      </c>
      <c r="BT12" s="82"/>
      <c r="BU12" s="82"/>
      <c r="BV12" s="82"/>
      <c r="BW12" s="106">
        <f>6.85*0+6.85*0+6.85*0+7.15*0+7.25</f>
        <v>7.25</v>
      </c>
      <c r="BX12" s="83"/>
      <c r="BY12" s="83" t="str">
        <f>BL12</f>
        <v/>
      </c>
      <c r="BZ12" s="106">
        <f>3.5*0+4.84*0+4.59*0+4.97</f>
        <v>4.97</v>
      </c>
      <c r="CA12" s="83"/>
      <c r="CB12" s="82" t="s">
        <v>149</v>
      </c>
      <c r="CE12" s="78"/>
      <c r="CN12" s="72">
        <f t="shared" si="3"/>
        <v>7</v>
      </c>
      <c r="CO12" s="71" t="str">
        <f>IF($BQ$14=FALSE,"",
IF(ISERROR($BP$14),VLOOKUP($D$2,$AZ$4:$BA$7,2,FALSE),
IF(OR($BP$14=0,BN17=FALSE),"Prorate cannot run. This tool only prorates prices set for country specific Fairtrade Minimum Prices for banana. There is no country specific Fairtrade Minimum Price for "&amp;BN16&amp;" banana from "&amp;$C$8,"")))</f>
        <v/>
      </c>
      <c r="CP12" s="71" t="str">
        <f>IF($BQ$14=FALSE,"",
IF(ISERROR($BP$14),VLOOKUP($D$2,$AZ$4:$BA$7,2,FALSE),
IF(OR($BP$14=0,BN17=FALSE),"Le prorata ne peut pas courir. L'outil ne fait qu'établir au prorata le prix fixé pour les prix minimums Fairtrade spécifiques à chaque pays pour la banane. Il n'existe pas de prix minimum du Fairtrade spécifique à un pays pour les bananes "&amp;BN16&amp;" de "&amp;$C$8,"")))</f>
        <v/>
      </c>
      <c r="CQ12" s="71" t="str">
        <f>IF($BQ$14=FALSE,"",
IF(ISERROR($BP$14),VLOOKUP($D$2,$AZ$4:$BA$7,2,FALSE),
IF(OR($BP$14=0,BN17=FALSE),"O prorato não pode funcionar. O instrumento apenas prorroga os preços estabelecidos para os preços mínimos de comércio equitativo específicos do país para a banana. Não existe um preço mínimo de comércio equitativo específico de um país para "&amp;BN16&amp;" de "&amp;$C$8,"")))</f>
        <v/>
      </c>
      <c r="CR12" s="71" t="str">
        <f>IF($BQ$14=FALSE,"",
IF(ISERROR($BP$14),VLOOKUP($D$2,$AZ$4:$BA$7,2,FALSE),
IF(OR($BP$14=0,BN17=FALSE),"El prorrateo no se puede llevar a cabo. Esta herramienta sólo prorratea los Precios Mínimos Fairtrade de banano para países específicos. No existe un Precio Mínimo para banana "&amp;BN16&amp;" de "&amp;$C$8,"")))</f>
        <v/>
      </c>
      <c r="CS12" s="71" t="s">
        <v>19</v>
      </c>
      <c r="CT12" s="71" t="s">
        <v>19</v>
      </c>
      <c r="CW12" s="71" t="str">
        <f>"Prorate cannot run. This tool only prorates prices set for country specific Fairtrade Minimum Prices for banana. There is no country specific Fairtrade Minimum Price for "&amp;BN16&amp;" banana from "&amp;$C$8</f>
        <v xml:space="preserve">Prorate cannot run. This tool only prorates prices set for country specific Fairtrade Minimum Prices for banana. There is no country specific Fairtrade Minimum Price for convencional banana from </v>
      </c>
      <c r="CX12" s="71" t="str">
        <f>"Le prorata ne peut pas courir. L'outil ne fait qu'établir au prorata le prix fixé pour les prix minimums Fairtrade spécifiques à chaque pays pour la banane. Il n'existe pas de prix minimum du Fairtrade spécifique à un pays pour les bananes "&amp;BN16&amp;" de "&amp;$C$8</f>
        <v xml:space="preserve">Le prorata ne peut pas courir. L'outil ne fait qu'établir au prorata le prix fixé pour les prix minimums Fairtrade spécifiques à chaque pays pour la banane. Il n'existe pas de prix minimum du Fairtrade spécifique à un pays pour les bananes convencional de </v>
      </c>
      <c r="CY12" s="71" t="str">
        <f>"O prorato não pode funcionar. O instrumento apenas prorroga os preços estabelecidos para os preços mínimos de comércio equitativo específicos do país para a banana. Não existe um preço mínimo de comércio equitativo específico de um país para "&amp;BN16&amp;" de "&amp;$C$8</f>
        <v xml:space="preserve">O prorato não pode funcionar. O instrumento apenas prorroga os preços estabelecidos para os preços mínimos de comércio equitativo específicos do país para a banana. Não existe um preço mínimo de comércio equitativo específico de um país para convencional de </v>
      </c>
      <c r="CZ12" s="71" t="str">
        <f>"El prorrateo no se puede llevar a cabo. Esta herramienta sólo prorratea los Precios Mínimos Fairtrade de banano para países específicos. No existe un Precio Mínimo para banana "&amp;BN16&amp;" de "&amp;$C$8</f>
        <v xml:space="preserve">El prorrateo no se puede llevar a cabo. Esta herramienta sólo prorratea los Precios Mínimos Fairtrade de banano para países específicos. No existe un Precio Mínimo para banana convencional de </v>
      </c>
      <c r="DA12" s="71" t="e">
        <f>HLOOKUP(D2,CW10:CZ12,3,FALSE)</f>
        <v>#N/A</v>
      </c>
      <c r="DB12" s="71" t="s">
        <v>19</v>
      </c>
    </row>
    <row r="13" spans="1:153" ht="9" customHeight="1" thickBot="1" x14ac:dyDescent="0.35">
      <c r="A13" s="29"/>
      <c r="B13" s="24"/>
      <c r="C13" s="24"/>
      <c r="D13" s="24"/>
      <c r="E13" s="30"/>
      <c r="AO13" s="71" t="b">
        <f>ISERROR(VLOOKUP(C10,CL4:CL6,1,FALSE))</f>
        <v>1</v>
      </c>
      <c r="AZ13" s="72"/>
      <c r="BD13" s="88" t="s">
        <v>0</v>
      </c>
      <c r="BE13" s="89" t="s">
        <v>39</v>
      </c>
      <c r="BF13" s="89" t="s">
        <v>42</v>
      </c>
      <c r="BG13" s="89" t="s">
        <v>0</v>
      </c>
      <c r="BI13" s="71" t="str">
        <f t="shared" si="6"/>
        <v/>
      </c>
      <c r="BL13" s="82" t="str">
        <f t="shared" si="1"/>
        <v/>
      </c>
      <c r="BM13" s="83">
        <f>1.73*0+2.05*0+1.71*0+1.45*0+1.4</f>
        <v>1.4</v>
      </c>
      <c r="BN13" s="82" t="s">
        <v>114</v>
      </c>
      <c r="BO13" s="82" t="str">
        <f>IF($D$2=$CJ$4,$BD$20,
IF($D$2=$CJ$5,$BE$20,
IF($D$2=$CJ$6,$BF$20,
$BG$20)))</f>
        <v>sin incluir</v>
      </c>
      <c r="BP13" s="106">
        <f>9.3*0+10.35*0+10.2*0+10.5</f>
        <v>10.5</v>
      </c>
      <c r="BQ13" s="83"/>
      <c r="BS13" s="83" t="str">
        <f>BL13</f>
        <v/>
      </c>
      <c r="BU13" s="90"/>
      <c r="BW13" s="106">
        <f>6.8*0+7.25*0+7.3*0+7.75</f>
        <v>7.75</v>
      </c>
      <c r="BX13" s="83"/>
      <c r="BY13" s="83" t="str">
        <f>BL13</f>
        <v/>
      </c>
      <c r="BZ13" s="83"/>
      <c r="CA13" s="83"/>
      <c r="CB13" s="82"/>
      <c r="CN13" s="72">
        <f t="shared" si="3"/>
        <v>8</v>
      </c>
      <c r="CO13" s="72" t="s">
        <v>128</v>
      </c>
      <c r="CP13" s="72" t="s">
        <v>129</v>
      </c>
      <c r="CQ13" s="72" t="s">
        <v>130</v>
      </c>
      <c r="CR13" s="72" t="s">
        <v>131</v>
      </c>
      <c r="CS13" s="93" t="e">
        <f>HLOOKUP($D$2,$CO$6:$CR$29,CN13,FALSE)</f>
        <v>#N/A</v>
      </c>
      <c r="CT13" s="71" t="s">
        <v>19</v>
      </c>
    </row>
    <row r="14" spans="1:153" ht="33" customHeight="1" thickBot="1" x14ac:dyDescent="0.35">
      <c r="A14" s="29"/>
      <c r="B14" s="115" t="str">
        <f>IF(ISBLANK($D$2),"",
CS14)</f>
        <v/>
      </c>
      <c r="C14" s="116"/>
      <c r="D14" s="117"/>
      <c r="E14" s="30"/>
      <c r="G14" s="57"/>
      <c r="AZ14" s="72"/>
      <c r="BD14" s="88" t="s">
        <v>1</v>
      </c>
      <c r="BE14" s="89" t="s">
        <v>40</v>
      </c>
      <c r="BF14" s="89" t="s">
        <v>43</v>
      </c>
      <c r="BG14" s="89" t="s">
        <v>1</v>
      </c>
      <c r="BJ14" s="72" t="b">
        <f>IF(OR(ISBLANK(C22),ISBLANK(C23)),TRUE,FALSE)</f>
        <v>1</v>
      </c>
      <c r="BK14" s="91" t="s">
        <v>142</v>
      </c>
      <c r="BL14" s="72" t="str">
        <f>IF($BQ$14=FALSE,"",VLOOKUP($C$8,$BL$5:$BM$13,1,FALSE))</f>
        <v/>
      </c>
      <c r="BM14" s="72" t="str">
        <f>IF($BQ$14=FALSE,"",VLOOKUP($C$8,$BL$5:$BM$13,2,FALSE))</f>
        <v/>
      </c>
      <c r="BN14" s="72" t="str">
        <f>IF($C$9=$BR$5,BH21,BH22)</f>
        <v>banano Fairtrade convencional</v>
      </c>
      <c r="BP14" s="92" t="str">
        <f>IF($BQ$14=FALSE,"",
IF($C$9=$BR$5,VLOOKUP($C$8,$BL$5:$BQ$13,5,FALSE),
VLOOKUP($C$8,$BL$5:$BQ$13,6,FALSE)))</f>
        <v/>
      </c>
      <c r="BQ14" s="72" t="b">
        <f>AND(ISBLANK(C8)=FALSE,ISBLANK(C9)=FALSE,ISBLANK(C11)=FALSE)</f>
        <v>0</v>
      </c>
      <c r="BR14" s="72" t="s">
        <v>144</v>
      </c>
      <c r="BW14" s="92" t="str">
        <f>IF($BQ$14=FALSE,"",IF($C$9=$BR$5,VLOOKUP($C$8,$BL$5:$BX$13,12,FALSE),
VLOOKUP($C$8,$BL$5:$BX$13,13,FALSE)))</f>
        <v/>
      </c>
      <c r="CH14" s="73"/>
      <c r="CN14" s="72">
        <f t="shared" si="3"/>
        <v>9</v>
      </c>
      <c r="CO14" s="72" t="str">
        <f>"EXAMPLE:
  PRORATE TO SPECIAL CARTON BOX "&amp;IF(ISBLANK($C$22),"OF __ kg (PLEASE ENTER THE WEIGHT IN KILOGRAMS IN THE EMPTY CELL)","OF "&amp;$C$22&amp;"kg FOR BANANA")</f>
        <v>EXAMPLE:
  PRORATE TO SPECIAL CARTON BOX OF __ kg (PLEASE ENTER THE WEIGHT IN KILOGRAMS IN THE EMPTY CELL)</v>
      </c>
      <c r="CP14" s="72" t="str">
        <f>"EXEMPLE:
RÉPARTITION POUR LA BOÎTE EN CARTON SPÉCIALE "&amp;IF(ISBLANK($C$22),"DE __ kg (ENTREZ LE POIDS EN KILOGRAMMES DANS LA CELLULE VIDE)","DE "&amp;$C$22&amp;"kg DE BANANE FRAÎCHE")</f>
        <v>EXEMPLE:
RÉPARTITION POUR LA BOÎTE EN CARTON SPÉCIALE DE __ kg (ENTREZ LE POIDS EN KILOGRAMMES DANS LA CELLULE VIDE)</v>
      </c>
      <c r="CQ14" s="72" t="str">
        <f>"EXEMPLO:
REPARTIÇÃO PARA A CAIXA DE CARTÃO ESPECIAL "&amp;IF(ISBLANK($C$22),"DE __ kg (INTRODUZIR PESO EM QUILOGRAMAS NA CÉLULA VAZIA)","DE "&amp;$C$22&amp;"kg DE BANANA FRESCA")</f>
        <v>EXEMPLO:
REPARTIÇÃO PARA A CAIXA DE CARTÃO ESPECIAL DE __ kg (INTRODUZIR PESO EM QUILOGRAMAS NA CÉLULA VAZIA)</v>
      </c>
      <c r="CR14" s="72" t="str">
        <f>"EJEMPLO:
  PRORRATEO PARA LA CAJA DE CARTÓN ESPECIAL "&amp;IF(ISBLANK($C$22),"DE __ kg (INGRESE EL PESO EN KILOGRAMOS EN LA CELDA VACÍA)","DE "&amp;$C$22&amp;"kg DE BANANO FRESCO")</f>
        <v>EJEMPLO:
  PRORRATEO PARA LA CAJA DE CARTÓN ESPECIAL DE __ kg (INGRESE EL PESO EN KILOGRAMOS EN LA CELDA VACÍA)</v>
      </c>
      <c r="CS14" s="93" t="e">
        <f>HLOOKUP($D$2,$CO$6:$CR$29,CN14,FALSE)</f>
        <v>#N/A</v>
      </c>
    </row>
    <row r="15" spans="1:153" ht="15" customHeight="1" x14ac:dyDescent="0.3">
      <c r="A15" s="29"/>
      <c r="B15" s="5" t="str">
        <f>IF(ISBLANK($D$2),"",
CS15)</f>
        <v/>
      </c>
      <c r="C15" s="6"/>
      <c r="D15" s="7"/>
      <c r="E15" s="30"/>
      <c r="AO15" s="71" t="str">
        <f>BA15&amp;AZ17</f>
        <v>Englishbanane conventionnelle du commerce équitable</v>
      </c>
      <c r="AP15" s="71" t="str">
        <f>AZ15</f>
        <v>conventional Fairtrade banana</v>
      </c>
      <c r="AQ15" s="72" t="s">
        <v>19</v>
      </c>
      <c r="AX15" s="71" t="s">
        <v>126</v>
      </c>
      <c r="AY15" s="72" t="str">
        <f t="shared" ref="AY15:AY30" si="7">BA15&amp;AZ15</f>
        <v>Englishconventional Fairtrade banana</v>
      </c>
      <c r="AZ15" s="93" t="str">
        <f>BD21</f>
        <v>conventional Fairtrade banana</v>
      </c>
      <c r="BA15" s="94" t="str">
        <f>BD4</f>
        <v>English</v>
      </c>
      <c r="BD15" s="88" t="s">
        <v>168</v>
      </c>
      <c r="BE15" s="89" t="s">
        <v>170</v>
      </c>
      <c r="BF15" s="89" t="s">
        <v>171</v>
      </c>
      <c r="BG15" s="89" t="s">
        <v>169</v>
      </c>
      <c r="BK15" s="91" t="s">
        <v>143</v>
      </c>
      <c r="BL15" s="72" t="str">
        <f>BL14</f>
        <v/>
      </c>
      <c r="BN15" s="72">
        <f>C9</f>
        <v>0</v>
      </c>
      <c r="CN15" s="72">
        <f t="shared" si="3"/>
        <v>10</v>
      </c>
      <c r="CO15" s="72" t="s">
        <v>21</v>
      </c>
      <c r="CP15" s="72" t="s">
        <v>327</v>
      </c>
      <c r="CQ15" s="72" t="s">
        <v>55</v>
      </c>
      <c r="CR15" s="72" t="s">
        <v>34</v>
      </c>
      <c r="CS15" s="93" t="e">
        <f t="shared" ref="CS15:CS28" si="8">HLOOKUP($D$2,$CO$6:$CR$29,CN15,FALSE)</f>
        <v>#N/A</v>
      </c>
    </row>
    <row r="16" spans="1:153" ht="36.6" customHeight="1" x14ac:dyDescent="0.3">
      <c r="A16" s="29"/>
      <c r="B16" s="8" t="str">
        <f>IF(C16="","",
CS16)</f>
        <v/>
      </c>
      <c r="C16" s="50" t="str">
        <f>IF(OR(ISBLANK($D$2),ISBLANK($C$8),ISBLANK($C$9),B12&lt;&gt;""),"",
IF(OR(BN96,BN98,BN100,BN103,BN106),"",
BQ32))</f>
        <v/>
      </c>
      <c r="D16" s="51" t="str">
        <f>IF(C16="","",
BS23&amp;$C$17&amp;"kg")</f>
        <v/>
      </c>
      <c r="E16" s="30"/>
      <c r="G16" s="57"/>
      <c r="AO16" s="71" t="str">
        <f>BA16&amp;AZ18</f>
        <v>Englishbanane biologique du commerce équitable</v>
      </c>
      <c r="AP16" s="71" t="str">
        <f>AZ16</f>
        <v>organic Fairtrade banana</v>
      </c>
      <c r="AQ16" s="72" t="s">
        <v>19</v>
      </c>
      <c r="AY16" s="72" t="str">
        <f t="shared" si="7"/>
        <v>Englishorganic Fairtrade banana</v>
      </c>
      <c r="AZ16" s="93" t="str">
        <f>BD22</f>
        <v>organic Fairtrade banana</v>
      </c>
      <c r="BA16" s="94" t="str">
        <f>BD4</f>
        <v>English</v>
      </c>
      <c r="BD16" s="88" t="s">
        <v>86</v>
      </c>
      <c r="BE16" s="89" t="s">
        <v>86</v>
      </c>
      <c r="BF16" s="89" t="s">
        <v>91</v>
      </c>
      <c r="BG16" s="89" t="s">
        <v>91</v>
      </c>
      <c r="BN16" s="72" t="str">
        <f>IF($C$9=$BR$5,BH24,BH23)</f>
        <v>convencional</v>
      </c>
      <c r="CN16" s="72">
        <f t="shared" si="3"/>
        <v>11</v>
      </c>
      <c r="CO16" s="72" t="str">
        <f>"• Price of the standard carton box ("&amp;BH20&amp;" the value added tax), that was used as reference in "&amp;BK4-1&amp;" for estimating the Fairtrade Minimum Price for Fairtrade banana from "&amp;$BM$28&amp;" for "&amp;$BK$4&amp;":"</f>
        <v>• Price of the standard carton box (sin incluir the value added tax), that was used as reference in 2025 for estimating the Fairtrade Minimum Price for Fairtrade banana from 0 for 2026:</v>
      </c>
      <c r="CP16" s="72" t="str">
        <f>"• Prix de la caisse en carton standard ("&amp;BH20&amp;" la taxe sur la valeur ajoutée), qui a été utilisé de référence dans "&amp;BK4-1&amp;" pour estimer le prix minimum Fairtrade pour les bananes Fairtrade de "&amp;$BM$28&amp;" pour "&amp;BK4&amp;":"</f>
        <v>• Prix de la caisse en carton standard (sin incluir la taxe sur la valeur ajoutée), qui a été utilisé de référence dans 2025 pour estimer le prix minimum Fairtrade pour les bananes Fairtrade de 0 pour 2026:</v>
      </c>
      <c r="CQ16" s="72" t="str">
        <f>"• Preço por caixa de cartão standard ("&amp;BH20&amp;" o imposto sobre o valor acrescentado), que foi utilizado como referência en "&amp;BK4-1&amp;" para estimar o Preço Mínimo de Comércio Justo para bananas de Comércio Justo de "&amp;$BM$28&amp;" para "&amp;BK4&amp;":"</f>
        <v>• Preço por caixa de cartão standard (sin incluir o imposto sobre o valor acrescentado), que foi utilizado como referência en 2025 para estimar o Preço Mínimo de Comércio Justo para bananas de Comércio Justo de 0 para 2026:</v>
      </c>
      <c r="CR16" s="72" t="str">
        <f>"• Precio de la caja de cartón estándar ("&amp;BH20&amp;" el impuesto al valor agregado), que se utilizó como referencia en "&amp;BK4-1&amp;" para estimar el Precio Mínimo Fairtrade para banano Fairtrade de "&amp;$BM$28&amp;" para "&amp;BK4&amp;":"</f>
        <v>• Precio de la caja de cartón estándar (sin incluir el impuesto al valor agregado), que se utilizó como referencia en 2025 para estimar el Precio Mínimo Fairtrade para banano Fairtrade de 0 para 2026:</v>
      </c>
      <c r="CS16" s="93" t="e">
        <f t="shared" si="8"/>
        <v>#N/A</v>
      </c>
    </row>
    <row r="17" spans="1:97" ht="36.6" customHeight="1" x14ac:dyDescent="0.3">
      <c r="A17" s="29"/>
      <c r="B17" s="10" t="str">
        <f>IF(C16="","",
CS17)</f>
        <v/>
      </c>
      <c r="C17" s="63" t="str">
        <f>IF(C16="","",
18.14)</f>
        <v/>
      </c>
      <c r="D17" s="52" t="str">
        <f>IF(C16="","",
"kg")</f>
        <v/>
      </c>
      <c r="E17" s="30"/>
      <c r="AO17" s="71" t="str">
        <f>BA15&amp;AZ19</f>
        <v>Englishbanana convencional de comércio justo</v>
      </c>
      <c r="AP17" s="71" t="str">
        <f>AP15</f>
        <v>conventional Fairtrade banana</v>
      </c>
      <c r="AQ17" s="72" t="s">
        <v>19</v>
      </c>
      <c r="AY17" s="72" t="str">
        <f t="shared" si="7"/>
        <v>Françaisbanane conventionnelle du commerce équitable</v>
      </c>
      <c r="AZ17" s="93" t="str">
        <f>BE21</f>
        <v>banane conventionnelle du commerce équitable</v>
      </c>
      <c r="BA17" s="94" t="str">
        <f>BE4</f>
        <v>Français</v>
      </c>
      <c r="BD17" s="88" t="s">
        <v>6</v>
      </c>
      <c r="BE17" s="89" t="s">
        <v>41</v>
      </c>
      <c r="BF17" s="89" t="s">
        <v>37</v>
      </c>
      <c r="BG17" s="89" t="s">
        <v>37</v>
      </c>
      <c r="BH17" s="71" t="s">
        <v>19</v>
      </c>
      <c r="BN17" s="74" t="b">
        <f>BN15=BN14</f>
        <v>0</v>
      </c>
      <c r="CN17" s="72">
        <f t="shared" si="3"/>
        <v>12</v>
      </c>
      <c r="CO17" s="72" t="str">
        <f>"• Banana volume per standard carton box (that was used as unit of measurement for estimating the Fairtrade Minimum Price for Fairtrade banana from "&amp;$BM$28&amp;" for "&amp;$BK$4&amp;"):"</f>
        <v>• Banana volume per standard carton box (that was used as unit of measurement for estimating the Fairtrade Minimum Price for Fairtrade banana from 0 for 2026):</v>
      </c>
      <c r="CP17" s="72" t="str">
        <f>"• Volume de bananes par caisse en carton standard (qui a été utilisé comme unité de mesure pour estimer le prix minimum du commerce équitable pour les bananes Fairtrade de "&amp;$BM$28&amp;" pour "&amp;$BK$4&amp;"):"</f>
        <v>• Volume de bananes par caisse en carton standard (qui a été utilisé comme unité de mesure pour estimer le prix minimum du commerce équitable pour les bananes Fairtrade de 0 pour 2026):</v>
      </c>
      <c r="CQ17" s="72" t="str">
        <f>"• Volume de bananas por caixa de cartão standard (que foi utilizada como unidade de medida para estimar o Preço Mínimo de Comércio Justo para bananas de Comércio Justo de "&amp;$BM$28&amp;" para "&amp;$BK$4&amp;"):"</f>
        <v>• Volume de bananas por caixa de cartão standard (que foi utilizada como unidade de medida para estimar o Preço Mínimo de Comércio Justo para bananas de Comércio Justo de 0 para 2026):</v>
      </c>
      <c r="CR17" s="72" t="str">
        <f>"• Volumen de banano por caja de cartón estándar (que se utilizó como unidad de medida para estimar el Precio Mínimo Fairtrade para banano Fairtrade de "&amp;$BM$28&amp;" para "&amp;$BK$4&amp;"):"</f>
        <v>• Volumen de banano por caja de cartón estándar (que se utilizó como unidad de medida para estimar el Precio Mínimo Fairtrade para banano Fairtrade de 0 para 2026):</v>
      </c>
      <c r="CS17" s="93" t="e">
        <f t="shared" si="8"/>
        <v>#N/A</v>
      </c>
    </row>
    <row r="18" spans="1:97" ht="16.8" customHeight="1" x14ac:dyDescent="0.3">
      <c r="A18" s="29"/>
      <c r="B18" s="12" t="str">
        <f>IF(ISBLANK($D$2),"",
CS18)</f>
        <v/>
      </c>
      <c r="C18" s="50"/>
      <c r="D18" s="51"/>
      <c r="E18" s="30"/>
      <c r="AO18" s="71" t="str">
        <f>BA16&amp;AZ20</f>
        <v>Englishbanana biológica de comércio justo</v>
      </c>
      <c r="AP18" s="71" t="str">
        <f t="shared" ref="AP18:AP20" si="9">AP16</f>
        <v>organic Fairtrade banana</v>
      </c>
      <c r="AQ18" s="72" t="s">
        <v>19</v>
      </c>
      <c r="AY18" s="72" t="str">
        <f t="shared" si="7"/>
        <v>Françaisbanane biologique du commerce équitable</v>
      </c>
      <c r="AZ18" s="93" t="str">
        <f>BE22</f>
        <v>banane biologique du commerce équitable</v>
      </c>
      <c r="BA18" s="94" t="str">
        <f>BE4</f>
        <v>Français</v>
      </c>
      <c r="BD18" s="88" t="s">
        <v>3</v>
      </c>
      <c r="BE18" s="89" t="s">
        <v>3</v>
      </c>
      <c r="BF18" s="89" t="s">
        <v>44</v>
      </c>
      <c r="BG18" s="89" t="s">
        <v>3</v>
      </c>
      <c r="BK18" s="95" t="s">
        <v>316</v>
      </c>
      <c r="BM18" s="72" t="str">
        <f t="shared" ref="BM18:BM26" si="10">BI5</f>
        <v/>
      </c>
      <c r="BN18" s="72" t="s">
        <v>180</v>
      </c>
      <c r="BO18" s="72" t="str">
        <f>BH21</f>
        <v>banano Fairtrade convencional</v>
      </c>
      <c r="CN18" s="72">
        <f t="shared" si="3"/>
        <v>13</v>
      </c>
      <c r="CO18" s="72" t="s">
        <v>10</v>
      </c>
      <c r="CP18" s="72" t="s">
        <v>57</v>
      </c>
      <c r="CQ18" s="72" t="s">
        <v>56</v>
      </c>
      <c r="CR18" s="72" t="s">
        <v>26</v>
      </c>
      <c r="CS18" s="93" t="e">
        <f t="shared" si="8"/>
        <v>#N/A</v>
      </c>
    </row>
    <row r="19" spans="1:97" ht="36.6" customHeight="1" x14ac:dyDescent="0.3">
      <c r="A19" s="29"/>
      <c r="B19" s="8" t="str">
        <f>IF(OR(C16="",ISBLANK(C10),BN112,BN115),"",
CS19)</f>
        <v/>
      </c>
      <c r="C19" s="53" t="str">
        <f>IF(B19="","",
BO32)</f>
        <v/>
      </c>
      <c r="D19" s="51" t="str">
        <f>IF(B19="","",
D16)</f>
        <v/>
      </c>
      <c r="E19" s="30"/>
      <c r="F19" s="58"/>
      <c r="G19" s="58"/>
      <c r="AO19" s="71" t="str">
        <f>BA15&amp;AZ21</f>
        <v>Englishbanano Fairtrade convencional</v>
      </c>
      <c r="AP19" s="71" t="str">
        <f t="shared" si="9"/>
        <v>conventional Fairtrade banana</v>
      </c>
      <c r="AQ19" s="72" t="s">
        <v>19</v>
      </c>
      <c r="AY19" s="72" t="str">
        <f>BA19&amp;AZ19</f>
        <v>Portuguêsbanana convencional de comércio justo</v>
      </c>
      <c r="AZ19" s="93" t="str">
        <f>BF21</f>
        <v>banana convencional de comércio justo</v>
      </c>
      <c r="BA19" s="94" t="str">
        <f>BF4</f>
        <v>Português</v>
      </c>
      <c r="BD19" s="71" t="s">
        <v>87</v>
      </c>
      <c r="BE19" s="71" t="s">
        <v>89</v>
      </c>
      <c r="BF19" s="71" t="s">
        <v>90</v>
      </c>
      <c r="BG19" s="71" t="s">
        <v>88</v>
      </c>
      <c r="BK19" s="95" t="s">
        <v>315</v>
      </c>
      <c r="BM19" s="72" t="str">
        <f t="shared" si="10"/>
        <v/>
      </c>
      <c r="BN19" s="72" t="s">
        <v>181</v>
      </c>
      <c r="BO19" s="72" t="str">
        <f>BH22</f>
        <v>banano Fairtrade orgánico</v>
      </c>
      <c r="CK19" s="96"/>
      <c r="CN19" s="72">
        <f t="shared" si="3"/>
        <v>14</v>
      </c>
      <c r="CO19" s="72" t="str">
        <f>"• FOB Fairtrade Minimum Price, "&amp;$C$10&amp;" port, for "&amp;$C$9&amp;" from "&amp;$BM$28&amp;" for "&amp;$BK$4&amp;", in "&amp;$BH$46&amp;" per box of 18.14kg:"</f>
        <v>• FOB Fairtrade Minimum Price,  port, for  from 0 for 2026, in Euros per box of 18.14kg:</v>
      </c>
      <c r="CP19" s="72" t="str">
        <f>"• Prix minimum Fairtrade FOB, port "&amp;$C$10&amp;", pour "&amp;$C$9&amp;" provenant de "&amp;$BM$28&amp;" pour "&amp;$BK$4&amp;", en "&amp;$BH$46&amp;" par caisse de 18.14kg:"</f>
        <v>• Prix minimum Fairtrade FOB, port , pour  provenant de 0 pour 2026, en Euros par caisse de 18.14kg:</v>
      </c>
      <c r="CQ19" s="72" t="str">
        <f>"• Preço Mínimo Fairtrade FOB, porto "&amp;$C$10&amp;", para "&amp;$C$9&amp;" de "&amp;$BM$28&amp;" para "&amp;$BK$4&amp;", em "&amp;$BH$46&amp;" por caixa de 18.14kg:"</f>
        <v>• Preço Mínimo Fairtrade FOB, porto , para  de 0 para 2026, em Euros por caixa de 18.14kg:</v>
      </c>
      <c r="CR19" s="72" t="str">
        <f>"• Precio Mínimo Fairtrade FOB, puerto "&amp;$C$10&amp;", para "&amp;$C$9&amp;" de "&amp;$BM$28&amp;" para "&amp;$BK$4&amp;", en "&amp;$BH$46&amp;" por caja de 18.14kg:"</f>
        <v>• Precio Mínimo Fairtrade FOB, puerto , para  de 0 para 2026, en Euros por caja de 18.14kg:</v>
      </c>
      <c r="CS19" s="93" t="e">
        <f t="shared" si="8"/>
        <v>#N/A</v>
      </c>
    </row>
    <row r="20" spans="1:97" ht="36.6" customHeight="1" x14ac:dyDescent="0.3">
      <c r="A20" s="29"/>
      <c r="B20" s="10" t="str">
        <f>IF(C16="","",
CS20)</f>
        <v/>
      </c>
      <c r="C20" s="54" t="str">
        <f>IF(C16="","",
BN32)</f>
        <v/>
      </c>
      <c r="D20" s="52" t="str">
        <f>IF(C16="","",
D16)</f>
        <v/>
      </c>
      <c r="E20" s="30"/>
      <c r="AO20" s="71" t="str">
        <f>BA16&amp;AZ22</f>
        <v>Englishbanano Fairtrade orgánico</v>
      </c>
      <c r="AP20" s="71" t="str">
        <f t="shared" si="9"/>
        <v>organic Fairtrade banana</v>
      </c>
      <c r="AQ20" s="72" t="s">
        <v>19</v>
      </c>
      <c r="AY20" s="72" t="str">
        <f>BA20&amp;AZ20</f>
        <v>Portuguêsbanana biológica de comércio justo</v>
      </c>
      <c r="AZ20" s="93" t="str">
        <f>BF22</f>
        <v>banana biológica de comércio justo</v>
      </c>
      <c r="BA20" s="94" t="str">
        <f>BF4</f>
        <v>Português</v>
      </c>
      <c r="BD20" s="97" t="s">
        <v>12</v>
      </c>
      <c r="BE20" s="97" t="s">
        <v>48</v>
      </c>
      <c r="BF20" s="97" t="s">
        <v>45</v>
      </c>
      <c r="BG20" s="97" t="s">
        <v>32</v>
      </c>
      <c r="BH20" s="88" t="str">
        <f>IF($D$2=$CJ$4,BD20,
IF($D$2=$CJ$5,BE20,
IF($D$2=$CJ$6,BF20,
BG20)))</f>
        <v>sin incluir</v>
      </c>
      <c r="BM20" s="72" t="str">
        <f t="shared" si="10"/>
        <v/>
      </c>
      <c r="BN20" s="72" t="s">
        <v>182</v>
      </c>
      <c r="CK20" s="98"/>
      <c r="CN20" s="72">
        <f t="shared" si="3"/>
        <v>15</v>
      </c>
      <c r="CO20" s="72" t="str">
        <f>"• Ex Works Fairtrade Minimum Price for "&amp;$C$9&amp;" from "&amp;$BM$28&amp;" for "&amp;$BK$4&amp;", in "&amp;$BH$46&amp;" per box of 18.14kg:"</f>
        <v>• Ex Works Fairtrade Minimum Price for  from 0 for 2026, in Euros per box of 18.14kg:</v>
      </c>
      <c r="CP20" s="72" t="str">
        <f>"• Prix minimum Fairtrade Ex Works pour "&amp;$C$9&amp;" de "&amp;$BM$28&amp;" pour "&amp;$BK$4&amp;", en "&amp;$BH$46&amp;" par caisse de 18.14kg:"</f>
        <v>• Prix minimum Fairtrade Ex Works pour  de 0 pour 2026, en Euros par caisse de 18.14kg:</v>
      </c>
      <c r="CQ20" s="72" t="str">
        <f>"• Preço Mínimo Fairtrade Ex Works para "&amp;$C$9&amp;" da "&amp;$BM$28&amp;" para "&amp;$BK$4&amp;", em "&amp;$BH$46&amp;" por caixa de 18.14kg:"</f>
        <v>• Preço Mínimo Fairtrade Ex Works para  da 0 para 2026, em Euros por caixa de 18.14kg:</v>
      </c>
      <c r="CR20" s="72" t="str">
        <f>"• Precio Mínimo Fairtrade Ex Works para "&amp;$C$9&amp;" de "&amp;$BM$28&amp;" para "&amp;$BK$4&amp;", en "&amp;$BH$46&amp;" por caja de 18.14kg:"</f>
        <v>• Precio Mínimo Fairtrade Ex Works para  de 0 para 2026, en Euros por caja de 18.14kg:</v>
      </c>
      <c r="CS20" s="93" t="e">
        <f t="shared" si="8"/>
        <v>#N/A</v>
      </c>
    </row>
    <row r="21" spans="1:97" x14ac:dyDescent="0.3">
      <c r="A21" s="29"/>
      <c r="B21" s="14" t="str">
        <f>IF(ISBLANK($D$2),"",
CS21)</f>
        <v/>
      </c>
      <c r="C21" s="13"/>
      <c r="D21" s="9"/>
      <c r="E21" s="30"/>
      <c r="AO21" s="71" t="str">
        <f>BA17&amp;AZ15</f>
        <v>Françaisconventional Fairtrade banana</v>
      </c>
      <c r="AP21" s="71" t="str">
        <f>AZ17</f>
        <v>banane conventionnelle du commerce équitable</v>
      </c>
      <c r="AQ21" s="72" t="s">
        <v>19</v>
      </c>
      <c r="AR21" s="71" t="s">
        <v>108</v>
      </c>
      <c r="AY21" s="72" t="str">
        <f>BA21&amp;AZ21</f>
        <v>Españolbanano Fairtrade convencional</v>
      </c>
      <c r="AZ21" s="93" t="str">
        <f>BG21</f>
        <v>banano Fairtrade convencional</v>
      </c>
      <c r="BA21" s="94" t="str">
        <f>BG4</f>
        <v>Español</v>
      </c>
      <c r="BD21" s="97" t="s">
        <v>8</v>
      </c>
      <c r="BE21" s="99" t="s">
        <v>49</v>
      </c>
      <c r="BF21" s="99" t="s">
        <v>46</v>
      </c>
      <c r="BG21" s="97" t="s">
        <v>33</v>
      </c>
      <c r="BH21" s="71" t="str">
        <f>IF($D$2=$CJ$4,BD21,
IF($D$2=$CJ$5,BE21,
IF($D$2=$CJ$6,BF21,
BG21)))</f>
        <v>banano Fairtrade convencional</v>
      </c>
      <c r="BJ21" s="72" t="str">
        <f>IF(OR(C9=BD21,C9=BE21,C9=BF21,C9=BG21),"conv","org")</f>
        <v>org</v>
      </c>
      <c r="BM21" s="72" t="str">
        <f t="shared" si="10"/>
        <v/>
      </c>
      <c r="BN21" s="72" t="s">
        <v>183</v>
      </c>
      <c r="CN21" s="72">
        <f t="shared" si="3"/>
        <v>16</v>
      </c>
      <c r="CO21" s="72" t="s">
        <v>11</v>
      </c>
      <c r="CP21" s="72" t="s">
        <v>328</v>
      </c>
      <c r="CQ21" s="72" t="s">
        <v>58</v>
      </c>
      <c r="CR21" s="72" t="s">
        <v>27</v>
      </c>
      <c r="CS21" s="93" t="e">
        <f t="shared" si="8"/>
        <v>#N/A</v>
      </c>
    </row>
    <row r="22" spans="1:97" ht="33.6" customHeight="1" x14ac:dyDescent="0.3">
      <c r="A22" s="29"/>
      <c r="B22" s="15" t="str">
        <f>IF(C16="","",
CS22)</f>
        <v/>
      </c>
      <c r="C22" s="2"/>
      <c r="D22" s="9" t="str">
        <f>D17</f>
        <v/>
      </c>
      <c r="E22" s="30"/>
      <c r="AO22" s="71" t="str">
        <f>BA18&amp;AZ16</f>
        <v>Françaisorganic Fairtrade banana</v>
      </c>
      <c r="AP22" s="71" t="str">
        <f>AZ18</f>
        <v>banane biologique du commerce équitable</v>
      </c>
      <c r="AQ22" s="72" t="s">
        <v>19</v>
      </c>
      <c r="AR22" s="87"/>
      <c r="AU22" s="87"/>
      <c r="AY22" s="72" t="str">
        <f>BA22&amp;AZ22</f>
        <v>Españolbanano Fairtrade orgánico</v>
      </c>
      <c r="AZ22" s="93" t="str">
        <f>BG22</f>
        <v>banano Fairtrade orgánico</v>
      </c>
      <c r="BA22" s="94" t="str">
        <f>BG4</f>
        <v>Español</v>
      </c>
      <c r="BD22" s="97" t="s">
        <v>9</v>
      </c>
      <c r="BE22" s="99" t="s">
        <v>78</v>
      </c>
      <c r="BF22" s="99" t="s">
        <v>47</v>
      </c>
      <c r="BG22" s="97" t="s">
        <v>308</v>
      </c>
      <c r="BH22" s="71" t="str">
        <f>IF($D$2=$CJ$4,BD22,
IF($D$2=$CJ$5,BE22,
IF($D$2=$CJ$6,BF22,
BG22)))</f>
        <v>banano Fairtrade orgánico</v>
      </c>
      <c r="BM22" s="72" t="str">
        <f t="shared" si="10"/>
        <v/>
      </c>
      <c r="BN22" s="72" t="s">
        <v>184</v>
      </c>
      <c r="CN22" s="72">
        <f t="shared" si="3"/>
        <v>17</v>
      </c>
      <c r="CO22" s="72" t="str">
        <f>"• Banana volume per special carton box (for which the Fairtrade Minimum Price will be prorated):"</f>
        <v>• Banana volume per special carton box (for which the Fairtrade Minimum Price will be prorated):</v>
      </c>
      <c r="CP22" s="72" t="str">
        <f>"• Volume de bananes par carton spécial (pour lequel le prix minimum Fairtrade sera calculé au prorata):"</f>
        <v>• Volume de bananes par carton spécial (pour lequel le prix minimum Fairtrade sera calculé au prorata):</v>
      </c>
      <c r="CQ22" s="72" t="str">
        <f>"• Volume de bananas por caixa especial (para a qual o Preço Mínimo de Comércio Justo será pro-rated):"</f>
        <v>• Volume de bananas por caixa especial (para a qual o Preço Mínimo de Comércio Justo será pro-rated):</v>
      </c>
      <c r="CR22" s="72" t="str">
        <f>"• Volumen de banano por caja de cartón especial (para la cual el Precio Mínimo Fairtrade será prorrateado):"</f>
        <v>• Volumen de banano por caja de cartón especial (para la cual el Precio Mínimo Fairtrade será prorrateado):</v>
      </c>
      <c r="CS22" s="93" t="e">
        <f t="shared" si="8"/>
        <v>#N/A</v>
      </c>
    </row>
    <row r="23" spans="1:97" ht="33.75" customHeight="1" x14ac:dyDescent="0.3">
      <c r="A23" s="29"/>
      <c r="B23" s="16" t="str">
        <f>IF(OR(C16="",ISBLANK(C22)),"",
CS23)</f>
        <v/>
      </c>
      <c r="C23" s="3"/>
      <c r="D23" s="11" t="str">
        <f>IF(OR(C16="",ISBLANK(C22)),"",
BS23&amp;C22&amp;"kg")</f>
        <v/>
      </c>
      <c r="E23" s="30"/>
      <c r="AO23" s="71" t="str">
        <f>BA17&amp;AZ19</f>
        <v>Françaisbanana convencional de comércio justo</v>
      </c>
      <c r="AP23" s="71" t="str">
        <f>AP21</f>
        <v>banane conventionnelle du commerce équitable</v>
      </c>
      <c r="AQ23" s="72">
        <v>1</v>
      </c>
      <c r="AR23" s="74" t="str">
        <f t="shared" ref="AR23:AR31" si="11">BA23&amp;AZ32</f>
        <v>EnglishPanama</v>
      </c>
      <c r="AS23" s="72" t="str">
        <f t="shared" ref="AS23:AS31" si="12">AZ23</f>
        <v>Panama</v>
      </c>
      <c r="AT23" s="74" t="s">
        <v>92</v>
      </c>
      <c r="AU23" s="72" t="s">
        <v>94</v>
      </c>
      <c r="AV23" s="72"/>
      <c r="AX23" s="71" t="s">
        <v>127</v>
      </c>
      <c r="AY23" s="72" t="str">
        <f t="shared" si="7"/>
        <v>EnglishPanama</v>
      </c>
      <c r="AZ23" s="72" t="str">
        <f t="shared" ref="AZ23:AZ30" si="13">BD11</f>
        <v>Panama</v>
      </c>
      <c r="BA23" s="94" t="str">
        <f>BD4</f>
        <v>English</v>
      </c>
      <c r="BD23" s="71" t="s">
        <v>67</v>
      </c>
      <c r="BE23" s="71" t="s">
        <v>68</v>
      </c>
      <c r="BF23" s="71" t="s">
        <v>69</v>
      </c>
      <c r="BG23" s="71" t="s">
        <v>73</v>
      </c>
      <c r="BH23" s="71" t="str">
        <f>IF($D$2=$CJ$4,BD23,
IF($D$2=$CJ$5,BE23,
IF($D$2=$CJ$6,BF23,
BG23)))</f>
        <v>orgánica</v>
      </c>
      <c r="BM23" s="72" t="str">
        <f t="shared" si="10"/>
        <v/>
      </c>
      <c r="BN23" s="72" t="s">
        <v>185</v>
      </c>
      <c r="BS23" s="95" t="str">
        <f>IF(OR(C8=BM23,C8=BM26),"EUR/"&amp;BH45,"USD/"&amp;BH45)</f>
        <v>EUR/caja</v>
      </c>
      <c r="CN23" s="72">
        <f t="shared" si="3"/>
        <v>18</v>
      </c>
      <c r="CO23" s="72" t="str">
        <f>"• Price of the special carton box of "&amp;C22&amp;"kg ("&amp;BH20&amp;" the value added tax):"</f>
        <v>• Price of the special carton box of kg (sin incluir the value added tax):</v>
      </c>
      <c r="CP23" s="72" t="str">
        <f>"• Prix d'une caisse spécial en carton en "&amp;C22&amp;"kg ("&amp;BH20&amp;" la taxe sur la valeur ajoutée):"</f>
        <v>• Prix d'une caisse spécial en carton en kg (sin incluir la taxe sur la valeur ajoutée):</v>
      </c>
      <c r="CQ23" s="72" t="str">
        <f>"• Preço de caixa de cartão especial de "&amp;C22&amp;"kg ("&amp;BH20&amp;" o imposto sobre o valor acrescentado):"</f>
        <v>• Preço de caixa de cartão especial de kg (sin incluir o imposto sobre o valor acrescentado):</v>
      </c>
      <c r="CR23" s="72" t="str">
        <f>"• Precio de la caja de cartón especial de "&amp;C22&amp;"kg ("&amp;BH20&amp;"kg el impuesto al valor agregado):"</f>
        <v>• Precio de la caja de cartón especial de kg (sin incluirkg el impuesto al valor agregado):</v>
      </c>
      <c r="CS23" s="93" t="e">
        <f t="shared" si="8"/>
        <v>#N/A</v>
      </c>
    </row>
    <row r="24" spans="1:97" ht="15" customHeight="1" x14ac:dyDescent="0.3">
      <c r="A24" s="29"/>
      <c r="B24" s="17" t="str">
        <f>IF(ISBLANK($D$2),"",
CS24)</f>
        <v/>
      </c>
      <c r="C24" s="20"/>
      <c r="D24" s="9"/>
      <c r="E24" s="30"/>
      <c r="AO24" s="71" t="str">
        <f>BA18&amp;AZ20</f>
        <v>Françaisbanana biológica de comércio justo</v>
      </c>
      <c r="AP24" s="71" t="str">
        <f t="shared" ref="AP24:AP26" si="14">AP22</f>
        <v>banane biologique du commerce équitable</v>
      </c>
      <c r="AQ24" s="72">
        <v>2</v>
      </c>
      <c r="AR24" s="72" t="str">
        <f t="shared" si="11"/>
        <v>EnglishPérou</v>
      </c>
      <c r="AS24" s="72" t="str">
        <f t="shared" si="12"/>
        <v>Peru</v>
      </c>
      <c r="AT24" s="72"/>
      <c r="AU24" s="72"/>
      <c r="AV24" s="72"/>
      <c r="AY24" s="72" t="str">
        <f t="shared" si="7"/>
        <v>EnglishPeru</v>
      </c>
      <c r="AZ24" s="72" t="str">
        <f t="shared" si="13"/>
        <v>Peru</v>
      </c>
      <c r="BA24" s="94" t="str">
        <f>BD4</f>
        <v>English</v>
      </c>
      <c r="BD24" s="71" t="s">
        <v>70</v>
      </c>
      <c r="BE24" s="71" t="s">
        <v>71</v>
      </c>
      <c r="BF24" s="71" t="s">
        <v>72</v>
      </c>
      <c r="BG24" s="71" t="s">
        <v>72</v>
      </c>
      <c r="BH24" s="71" t="str">
        <f>IF($D$2=$CJ$4,BD24,
IF($D$2=$CJ$5,BE24,
IF($D$2=$CJ$6,BF24,
BG24)))</f>
        <v>convencional</v>
      </c>
      <c r="BM24" s="72" t="str">
        <f t="shared" si="10"/>
        <v/>
      </c>
      <c r="BN24" s="72" t="s">
        <v>186</v>
      </c>
      <c r="CN24" s="72">
        <f t="shared" si="3"/>
        <v>19</v>
      </c>
      <c r="CO24" s="72" t="s">
        <v>22</v>
      </c>
      <c r="CP24" s="72" t="s">
        <v>60</v>
      </c>
      <c r="CQ24" s="72" t="s">
        <v>59</v>
      </c>
      <c r="CR24" s="72" t="s">
        <v>28</v>
      </c>
      <c r="CS24" s="93" t="e">
        <f t="shared" si="8"/>
        <v>#N/A</v>
      </c>
    </row>
    <row r="25" spans="1:97" ht="20.399999999999999" customHeight="1" x14ac:dyDescent="0.3">
      <c r="A25" s="29"/>
      <c r="B25" s="111" t="str">
        <f>IF(OR(B19="",ISBLANK(C10),BN112,BN115,ISBLANK(C22),ISBLANK(C23)),"",
CS25)</f>
        <v/>
      </c>
      <c r="C25" s="21" t="str">
        <f>IF(B25="","",
ROUND((((C19-C16)/C17)*C22)+C23,2))</f>
        <v/>
      </c>
      <c r="D25" s="18" t="str">
        <f>IF(B25="","",
D23)</f>
        <v/>
      </c>
      <c r="E25" s="30"/>
      <c r="AO25" s="71" t="str">
        <f>BA17&amp;AZ21</f>
        <v>Françaisbanano Fairtrade convencional</v>
      </c>
      <c r="AP25" s="71" t="str">
        <f t="shared" si="14"/>
        <v>banane conventionnelle du commerce équitable</v>
      </c>
      <c r="AQ25" s="72">
        <v>3</v>
      </c>
      <c r="AR25" s="72" t="str">
        <f t="shared" si="11"/>
        <v>EnglishColombie</v>
      </c>
      <c r="AS25" s="72" t="str">
        <f t="shared" si="12"/>
        <v>Colombia</v>
      </c>
      <c r="AT25" s="72"/>
      <c r="AU25" s="72"/>
      <c r="AV25" s="72"/>
      <c r="AY25" s="72" t="str">
        <f t="shared" si="7"/>
        <v>EnglishColombia</v>
      </c>
      <c r="AZ25" s="72" t="str">
        <f t="shared" si="13"/>
        <v>Colombia</v>
      </c>
      <c r="BA25" s="94" t="str">
        <f>BD4</f>
        <v>English</v>
      </c>
      <c r="BE25" s="71" t="s">
        <v>19</v>
      </c>
      <c r="BM25" s="72" t="str">
        <f t="shared" si="10"/>
        <v/>
      </c>
      <c r="BN25" s="72" t="s">
        <v>187</v>
      </c>
      <c r="BO25" s="72" t="str">
        <f>BH21</f>
        <v>banano Fairtrade convencional</v>
      </c>
      <c r="CN25" s="72">
        <f t="shared" si="3"/>
        <v>20</v>
      </c>
      <c r="CO25" s="96" t="str">
        <f>"• Prorated FOB Fairtrade Minimum Price, "&amp;$C$10&amp;" port, for "&amp;$C$9&amp;" from "&amp;$BM$28&amp;" for "&amp;$BK$4&amp;", in "&amp;$BH$46&amp;" per special carton box of "&amp;$C$22&amp;"kg:"</f>
        <v>• Prorated FOB Fairtrade Minimum Price,  port, for  from 0 for 2026, in Euros per special carton box of kg:</v>
      </c>
      <c r="CP25" s="96" t="str">
        <f>"• Prix minimum Fairtrade FOB au prorata, port "&amp;$C$10&amp;", pour "&amp;$C$9&amp;" provenant de "&amp;$BM$28&amp;" pour "&amp;$BK$4&amp;", en "&amp;$BH$46&amp;" par caisse en carton spéciale de "&amp;$C$22&amp;"kg:"</f>
        <v>• Prix minimum Fairtrade FOB au prorata, port , pour  provenant de 0 pour 2026, en Euros par caisse en carton spéciale de kg:</v>
      </c>
      <c r="CQ25" s="96" t="str">
        <f>"• Preço Mínimo Fairtrade FOB rateado, porto "&amp;$C$10&amp;", para "&amp;$C$9&amp;" de "&amp;$BM$28&amp;" para "&amp;$BK$4&amp;", em "&amp;$BH$46&amp;" por caixa de cartão especial de "&amp;$C$22&amp;"kg:"</f>
        <v>• Preço Mínimo Fairtrade FOB rateado, porto , para  de 0 para 2026, em Euros por caixa de cartão especial de kg:</v>
      </c>
      <c r="CR25" s="96" t="str">
        <f>"• Precio Mínimo Fairtrade FOB prorrateado, puerto "&amp;$C$10&amp;", para "&amp;$C$9&amp;" de "&amp;$BM$28&amp;" para "&amp;$BK$4&amp;", en "&amp;$BH$46&amp;" por caja de cartón especial de "&amp;$C$22&amp;"kg:"</f>
        <v>• Precio Mínimo Fairtrade FOB prorrateado, puerto , para  de 0 para 2026, en Euros por caja de cartón especial de kg:</v>
      </c>
      <c r="CS25" s="93" t="e">
        <f t="shared" si="8"/>
        <v>#N/A</v>
      </c>
    </row>
    <row r="26" spans="1:97" ht="20.399999999999999" customHeight="1" x14ac:dyDescent="0.3">
      <c r="A26" s="29"/>
      <c r="B26" s="111"/>
      <c r="C26" s="22" t="str">
        <f>IF(B25="","",
" = [("&amp;$C$19&amp;"-"&amp;$C$16&amp;")/"&amp;$C$17&amp;"]*"&amp;$C$22&amp;"+"&amp;ROUND($C$23,2)&amp;" = "&amp;$C$25)</f>
        <v/>
      </c>
      <c r="D26" s="9"/>
      <c r="E26" s="30"/>
      <c r="AO26" s="71" t="str">
        <f>BA18&amp;AZ22</f>
        <v>Françaisbanano Fairtrade orgánico</v>
      </c>
      <c r="AP26" s="71" t="str">
        <f t="shared" si="14"/>
        <v>banane biologique du commerce équitable</v>
      </c>
      <c r="AQ26" s="72">
        <v>4</v>
      </c>
      <c r="AR26" s="72" t="str">
        <f t="shared" si="11"/>
        <v>EnglishÉquateur</v>
      </c>
      <c r="AS26" s="72" t="str">
        <f t="shared" si="12"/>
        <v>Ecuador</v>
      </c>
      <c r="AT26" s="72"/>
      <c r="AU26" s="72"/>
      <c r="AV26" s="72"/>
      <c r="AY26" s="72" t="str">
        <f t="shared" si="7"/>
        <v>EnglishEcuador</v>
      </c>
      <c r="AZ26" s="72" t="str">
        <f t="shared" si="13"/>
        <v>Ecuador</v>
      </c>
      <c r="BA26" s="94" t="str">
        <f>BD4</f>
        <v>English</v>
      </c>
      <c r="BE26" s="71" t="s">
        <v>19</v>
      </c>
      <c r="BM26" s="72" t="str">
        <f t="shared" si="10"/>
        <v/>
      </c>
      <c r="BN26" s="72" t="s">
        <v>188</v>
      </c>
      <c r="BO26" s="72" t="str">
        <f>BH21</f>
        <v>banano Fairtrade convencional</v>
      </c>
      <c r="CN26" s="72">
        <f t="shared" si="3"/>
        <v>21</v>
      </c>
      <c r="CO26" s="72"/>
      <c r="CP26" s="72"/>
      <c r="CQ26" s="72"/>
      <c r="CR26" s="72"/>
      <c r="CS26" s="93" t="e">
        <f t="shared" si="8"/>
        <v>#N/A</v>
      </c>
    </row>
    <row r="27" spans="1:97" ht="20.399999999999999" customHeight="1" x14ac:dyDescent="0.3">
      <c r="A27" s="29"/>
      <c r="B27" s="111" t="str">
        <f>IF(OR(C16="",ISBLANK(C22)),"",
CS27)</f>
        <v/>
      </c>
      <c r="C27" s="21" t="str">
        <f>IF(B27="","",
ROUND((((BN32)/C17)*C22),2))</f>
        <v/>
      </c>
      <c r="D27" s="18" t="str">
        <f>IF(B27="","",
D23)</f>
        <v/>
      </c>
      <c r="E27" s="30"/>
      <c r="G27" s="58"/>
      <c r="AO27" s="71" t="str">
        <f>BA19&amp;AZ15</f>
        <v>Portuguêsconventional Fairtrade banana</v>
      </c>
      <c r="AP27" s="71" t="str">
        <f>AZ19</f>
        <v>banana convencional de comércio justo</v>
      </c>
      <c r="AQ27" s="72">
        <v>5</v>
      </c>
      <c r="AR27" s="72" t="str">
        <f t="shared" si="11"/>
        <v>EnglishCôte d'Ivoire</v>
      </c>
      <c r="AS27" s="72" t="str">
        <f t="shared" si="12"/>
        <v>Ivory Coast</v>
      </c>
      <c r="AT27" s="72"/>
      <c r="AU27" s="72"/>
      <c r="AV27" s="72"/>
      <c r="AY27" s="72" t="str">
        <f t="shared" si="7"/>
        <v>EnglishIvory Coast</v>
      </c>
      <c r="AZ27" s="72" t="str">
        <f t="shared" si="13"/>
        <v>Ivory Coast</v>
      </c>
      <c r="BA27" s="94" t="str">
        <f>BD4</f>
        <v>English</v>
      </c>
      <c r="BE27" s="71" t="s">
        <v>19</v>
      </c>
      <c r="CN27" s="72">
        <f t="shared" si="3"/>
        <v>22</v>
      </c>
      <c r="CO27" s="96" t="str">
        <f>"• Prorated Ex Works Fairtrade Minimum Price for "&amp;$C$9&amp;" from "&amp;$BM$28&amp;" for "&amp;$BK$4&amp;", in "&amp;$BH$46&amp;" per special carton box of "&amp;$C$22&amp;"kg:"</f>
        <v>• Prorated Ex Works Fairtrade Minimum Price for  from 0 for 2026, in Euros per special carton box of kg:</v>
      </c>
      <c r="CP27" s="96" t="str">
        <f>"• Prix minimum Fairtrade Ex Works au prorata pour "&amp;$C$9&amp;" de "&amp;$BM$28&amp;" pour "&amp;$BK$4&amp;", en "&amp;$BH$46&amp;" par caisse en carton spéciale de "&amp;$C$22&amp;"kg:"</f>
        <v>• Prix minimum Fairtrade Ex Works au prorata pour  de 0 pour 2026, en Euros par caisse en carton spéciale de kg:</v>
      </c>
      <c r="CQ27" s="96" t="str">
        <f>"• Preço Mínimo Fairtrade Ex Works rateado para "&amp;$C$9&amp;" da "&amp;$BM$28&amp;" para "&amp;$BK$4&amp;", em "&amp;$BH$46&amp;" por caixa de cartão especial de "&amp;$C$22&amp;"kg:"</f>
        <v>• Preço Mínimo Fairtrade Ex Works rateado para  da 0 para 2026, em Euros por caixa de cartão especial de kg:</v>
      </c>
      <c r="CR27" s="96" t="str">
        <f>"• Precio Mínimo Fairtrade Ex Works prorrateado para "&amp;$C$9&amp;" de "&amp;$BM$28&amp;" para "&amp;$BK$4&amp;", en "&amp;$BH$46&amp;" por caja de cartón especial de "&amp;$C$22&amp;"kg:"</f>
        <v>• Precio Mínimo Fairtrade Ex Works prorrateado para  de 0 para 2026, en Euros por caja de cartón especial de kg:</v>
      </c>
      <c r="CS27" s="93" t="e">
        <f t="shared" si="8"/>
        <v>#N/A</v>
      </c>
    </row>
    <row r="28" spans="1:97" ht="20.399999999999999" customHeight="1" x14ac:dyDescent="0.5">
      <c r="A28" s="29"/>
      <c r="B28" s="111"/>
      <c r="C28" s="22" t="str">
        <f>IF(B27="","",
" = ["&amp;$BN$32&amp;"/"&amp;$C$17&amp;"]*"&amp;$C$22&amp;" = "&amp;$C$27)</f>
        <v/>
      </c>
      <c r="D28" s="9"/>
      <c r="E28" s="30"/>
      <c r="G28" s="59"/>
      <c r="AO28" s="71" t="str">
        <f>BA20&amp;AZ16</f>
        <v>Portuguêsorganic Fairtrade banana</v>
      </c>
      <c r="AP28" s="71" t="str">
        <f>AZ20</f>
        <v>banana biológica de comércio justo</v>
      </c>
      <c r="AQ28" s="72">
        <v>6</v>
      </c>
      <c r="AR28" s="72" t="str">
        <f t="shared" si="11"/>
        <v>EnglishGhana</v>
      </c>
      <c r="AS28" s="72" t="str">
        <f t="shared" si="12"/>
        <v>Ghana</v>
      </c>
      <c r="AT28" s="72"/>
      <c r="AU28" s="72"/>
      <c r="AV28" s="72"/>
      <c r="AY28" s="72" t="str">
        <f t="shared" si="7"/>
        <v>EnglishGhana</v>
      </c>
      <c r="AZ28" s="72" t="str">
        <f t="shared" si="13"/>
        <v>Ghana</v>
      </c>
      <c r="BA28" s="94" t="str">
        <f>BD4</f>
        <v>English</v>
      </c>
      <c r="BE28" s="71" t="s">
        <v>19</v>
      </c>
      <c r="BH28" s="100"/>
      <c r="BM28" s="72">
        <f>C8</f>
        <v>0</v>
      </c>
      <c r="BN28" s="72" t="e">
        <f>VLOOKUP(BM28,BM18:BN26,2,FALSE)</f>
        <v>#N/A</v>
      </c>
      <c r="CN28" s="72">
        <f t="shared" si="3"/>
        <v>23</v>
      </c>
      <c r="CO28" s="72"/>
      <c r="CP28" s="72"/>
      <c r="CQ28" s="72"/>
      <c r="CR28" s="72"/>
      <c r="CS28" s="93" t="e">
        <f t="shared" si="8"/>
        <v>#N/A</v>
      </c>
    </row>
    <row r="29" spans="1:97" ht="20.399999999999999" customHeight="1" x14ac:dyDescent="0.5">
      <c r="A29" s="29"/>
      <c r="B29" s="111" t="str">
        <f>IF(B27="","",
CS29)</f>
        <v/>
      </c>
      <c r="C29" s="21" t="str">
        <f>IF(B29="","",
ROUND(C22/C17,2))</f>
        <v/>
      </c>
      <c r="D29" s="18" t="str">
        <f>IF(B29="","",
D23)</f>
        <v/>
      </c>
      <c r="E29" s="30"/>
      <c r="AO29" s="71" t="str">
        <f>BA19&amp;AZ17</f>
        <v>Portuguêsbanane conventionnelle du commerce équitable</v>
      </c>
      <c r="AP29" s="71" t="str">
        <f>AP27</f>
        <v>banana convencional de comércio justo</v>
      </c>
      <c r="AQ29" s="72">
        <v>7</v>
      </c>
      <c r="AR29" s="72" t="str">
        <f t="shared" si="11"/>
        <v>EnglishRépublique dominicaine</v>
      </c>
      <c r="AS29" s="72" t="str">
        <f t="shared" si="12"/>
        <v>Dominican Republic</v>
      </c>
      <c r="AT29" s="72"/>
      <c r="AU29" s="72"/>
      <c r="AV29" s="72"/>
      <c r="AY29" s="72" t="str">
        <f t="shared" si="7"/>
        <v>EnglishDominican Republic</v>
      </c>
      <c r="AZ29" s="72" t="str">
        <f t="shared" si="13"/>
        <v>Dominican Republic</v>
      </c>
      <c r="BA29" s="94" t="str">
        <f>BD4</f>
        <v>English</v>
      </c>
      <c r="BH29" s="100"/>
      <c r="BO29" s="81" t="s">
        <v>264</v>
      </c>
      <c r="BP29" s="93" t="s">
        <v>263</v>
      </c>
      <c r="CN29" s="72">
        <f t="shared" si="3"/>
        <v>24</v>
      </c>
      <c r="CO29" s="96" t="str">
        <f>"• Prorated Fairtrade Premium for "&amp;$C$9&amp;" from "&amp;$BM$28&amp;" for "&amp;$BK$4&amp;", in "&amp;$BH$46&amp;" per special carton box of "&amp;$C$22&amp;"kg:"</f>
        <v>• Prorated Fairtrade Premium for  from 0 for 2026, in Euros per special carton box of kg:</v>
      </c>
      <c r="CP29" s="96" t="str">
        <f>"• Prime Fairtrade au prorata pour "&amp;$C$9&amp;" de "&amp;$BM$28&amp;" pour "&amp;$BK$4&amp;", en "&amp;$BH$46&amp;" par caisse en carton spéciale de "&amp;$C$22&amp;"kg:"</f>
        <v>• Prime Fairtrade au prorata pour  de 0 pour 2026, en Euros par caisse en carton spéciale de kg:</v>
      </c>
      <c r="CQ29" s="96" t="str">
        <f>"• Prémio Fairtrade rateado para "&amp;$C$9&amp;" da "&amp;$BM$28&amp;" para "&amp;$BK$4&amp;", em "&amp;$BH$46&amp;" por caixa de cartão especial de "&amp;$C$22&amp;"kg:"</f>
        <v>• Prémio Fairtrade rateado para  da 0 para 2026, em Euros por caixa de cartão especial de kg:</v>
      </c>
      <c r="CR29" s="96" t="str">
        <f>"• Prima Fairtrade prorrateada para "&amp;$C$9&amp;" de "&amp;$BM$28&amp;" para "&amp;$BK$4&amp;", en "&amp;$BH$46&amp;" por caja de cartón especial de "&amp;$C$22&amp;"kg:"</f>
        <v>• Prima Fairtrade prorrateada para  de 0 para 2026, en Euros por caja de cartón especial de kg:</v>
      </c>
      <c r="CS29" s="93" t="e">
        <f>HLOOKUP($D$2,$CO$6:$CR$29,CN29,FALSE)</f>
        <v>#N/A</v>
      </c>
    </row>
    <row r="30" spans="1:97" ht="20.399999999999999" customHeight="1" thickBot="1" x14ac:dyDescent="0.55000000000000004">
      <c r="A30" s="29"/>
      <c r="B30" s="112"/>
      <c r="C30" s="23" t="str">
        <f>IF(B29="","",
"= "&amp;C22&amp;"/"&amp;C17&amp;" = "&amp;C29)</f>
        <v/>
      </c>
      <c r="D30" s="19"/>
      <c r="E30" s="30"/>
      <c r="AO30" s="71" t="str">
        <f>BA20&amp;AZ18</f>
        <v>Portuguêsbanane biologique du commerce équitable</v>
      </c>
      <c r="AP30" s="71" t="str">
        <f t="shared" ref="AP30:AP32" si="15">AP28</f>
        <v>banana biológica de comércio justo</v>
      </c>
      <c r="AQ30" s="72">
        <v>8</v>
      </c>
      <c r="AR30" s="72" t="str">
        <f t="shared" si="11"/>
        <v>EnglishNicaragua</v>
      </c>
      <c r="AS30" s="72" t="str">
        <f t="shared" si="12"/>
        <v>Nicaragua</v>
      </c>
      <c r="AT30" s="72"/>
      <c r="AU30" s="72"/>
      <c r="AV30" s="72"/>
      <c r="AY30" s="72" t="str">
        <f t="shared" si="7"/>
        <v>EnglishNicaragua</v>
      </c>
      <c r="AZ30" s="72" t="str">
        <f t="shared" si="13"/>
        <v>Nicaragua</v>
      </c>
      <c r="BA30" s="94" t="str">
        <f>BD4</f>
        <v>English</v>
      </c>
      <c r="BH30" s="100"/>
      <c r="BO30" s="72" t="e">
        <f>IF(BH22=C9,
MATCH(BO31,BM47:BU47,0),
MATCH(BO31,BM54:BU54,0))</f>
        <v>#N/A</v>
      </c>
      <c r="BP30" s="93" t="e">
        <f>MATCH(BP32,_xlfn.ANCHORARRAY(BL48),0)</f>
        <v>#N/A</v>
      </c>
      <c r="BT30" s="72" t="s">
        <v>182</v>
      </c>
      <c r="CM30" s="101"/>
      <c r="CS30" s="71" t="s">
        <v>19</v>
      </c>
    </row>
    <row r="31" spans="1:97" ht="15" thickBot="1" x14ac:dyDescent="0.35">
      <c r="A31" s="31"/>
      <c r="B31" s="32"/>
      <c r="C31" s="33"/>
      <c r="D31" s="33"/>
      <c r="E31" s="34"/>
      <c r="AO31" s="71" t="str">
        <f>BA19&amp;AZ21</f>
        <v>Portuguêsbanano Fairtrade convencional</v>
      </c>
      <c r="AP31" s="71" t="str">
        <f t="shared" si="15"/>
        <v>banana convencional de comércio justo</v>
      </c>
      <c r="AQ31" s="72">
        <v>9</v>
      </c>
      <c r="AR31" s="72" t="str">
        <f t="shared" si="11"/>
        <v>EnglishCameroun</v>
      </c>
      <c r="AS31" s="72" t="str">
        <f t="shared" si="12"/>
        <v>Cameroon</v>
      </c>
      <c r="AT31" s="72"/>
      <c r="AU31" s="72"/>
      <c r="AV31" s="72"/>
      <c r="AY31" s="72" t="str">
        <f t="shared" ref="AY31:AY58" si="16">BA31&amp;AZ31</f>
        <v>EnglishCameroon</v>
      </c>
      <c r="AZ31" s="72" t="str">
        <f t="shared" ref="AZ31" si="17">BD19</f>
        <v>Cameroon</v>
      </c>
      <c r="BA31" s="94" t="str">
        <f>BA30</f>
        <v>English</v>
      </c>
      <c r="BH31" s="102"/>
      <c r="BM31" s="72" t="e">
        <f>BN28</f>
        <v>#N/A</v>
      </c>
      <c r="BN31" s="72" t="e" cm="1">
        <f t="array" ref="BN31">IF(BH22=C9,
INDEX(BM41:BU41,,MATCH(BM31,BM34:BU34,0)),
INDEX(BM44:BU44,,MATCH(BM31,BM34:BU34,0)))</f>
        <v>#N/A</v>
      </c>
      <c r="BO31" s="95" t="e" cm="1">
        <f t="array" ref="BO31">IF(BH22=C9,
INDEX(BM47:BU47,,MATCH(BM31,BM34:BU34,0)),
INDEX(BM54:BU54,,MATCH(BM31,BM34:BU34,0)))</f>
        <v>#N/A</v>
      </c>
      <c r="BP31" s="72" t="s">
        <v>265</v>
      </c>
      <c r="BQ31" s="81" t="e" cm="1">
        <f t="array" ref="BQ31">INDEX(BM61:BU61,,MATCH(BM31,BM34:BU34,0))</f>
        <v>#N/A</v>
      </c>
      <c r="BT31" s="72" t="s">
        <v>189</v>
      </c>
      <c r="BU31" s="72" t="s">
        <v>262</v>
      </c>
    </row>
    <row r="32" spans="1:97" ht="32.25" customHeight="1" x14ac:dyDescent="0.3">
      <c r="AO32" s="71" t="str">
        <f>BA20&amp;AZ22</f>
        <v>Portuguêsbanano Fairtrade orgánico</v>
      </c>
      <c r="AP32" s="71" t="str">
        <f t="shared" si="15"/>
        <v>banana biológica de comércio justo</v>
      </c>
      <c r="AQ32" s="72">
        <v>1</v>
      </c>
      <c r="AR32" s="74" t="str">
        <f t="shared" ref="AR32:AR35" si="18">BA23&amp;AZ41</f>
        <v>EnglishPanamá</v>
      </c>
      <c r="AS32" s="72" t="str">
        <f t="shared" ref="AS32:AS44" si="19">AS23</f>
        <v>Panama</v>
      </c>
      <c r="AT32" s="74" t="s">
        <v>93</v>
      </c>
      <c r="AU32" s="72" t="s">
        <v>94</v>
      </c>
      <c r="AY32" s="72" t="str">
        <f t="shared" si="16"/>
        <v>FrançaisPanama</v>
      </c>
      <c r="AZ32" s="72" t="str">
        <f t="shared" ref="AZ32:AZ40" si="20">BE11</f>
        <v>Panama</v>
      </c>
      <c r="BA32" s="94" t="str">
        <f>BE4</f>
        <v>Français</v>
      </c>
      <c r="BN32" s="101" t="e">
        <f>IF(BH22=C9,
HLOOKUP(BN31,BM41:BU42,2,FALSE),
HLOOKUP(BN31,BM44:BU45,2,FALSE))</f>
        <v>#N/A</v>
      </c>
      <c r="BO32" s="101" t="e" cm="1">
        <f t="array" ref="BO32">IF(BH22=C9,
INDEX(BM48:BU52,BP30,BO30),
INDEX(BM55:BU59,BP30,BO30))</f>
        <v>#N/A</v>
      </c>
      <c r="BP32" s="72">
        <f>C10</f>
        <v>0</v>
      </c>
      <c r="BQ32" s="81" t="e">
        <f>HLOOKUP(BQ31,BM61:BU62,2,FALSE)</f>
        <v>#N/A</v>
      </c>
      <c r="BT32" s="72" t="s">
        <v>175</v>
      </c>
      <c r="BU32" s="72" t="s">
        <v>122</v>
      </c>
      <c r="CO32" s="71" t="e">
        <f>"EXAMPLE FOR:
  PRORATE TO IFCO CRATE "&amp;IF(ISBLANK(#REF!),"OF __ KG (PLEASE ENTER THE WEIGHT IN KILOGRAMS IN CELL C39)","OF "&amp;#REF!&amp;"kg FOR BANANA")</f>
        <v>#REF!</v>
      </c>
      <c r="CP32" s="71" t="e">
        <f>"EXEMPLE POUR :
RÉPARTITION POUR LA CAISSE DE L'IFCO "&amp;IF(ISBLANK(#REF!),"DE __ KG (ENTREZ LE POIDS EN KILOGRAMMES DANS LA CELLULE C39)","DE "&amp;#REF!&amp;"kg DE BANANE FRAÎCHE")</f>
        <v>#REF!</v>
      </c>
      <c r="CQ32" s="71" t="e">
        <f>"EXEMPLO PARA:
REPARTIÇÃO PARA A CAIXA DA IFCO "&amp;IF(ISBLANK(#REF!),"DE __ KG (ENTREZ LE POIDS EN KILOGRAMMES DANS LA CELLULE C39)","DE "&amp;#REF!&amp;"kg DE BANANA FRESCA")</f>
        <v>#REF!</v>
      </c>
      <c r="CR32" s="71" t="e">
        <f>"EJEMPLO PARA:
  PRORRATEO PARA LA CAJA IFCO "&amp;IF(ISBLANK(#REF!),"DE __ KG (INGRESE EL PESO EN KILOGRAMOS EN LA CELDA C39)","DE "&amp;#REF!&amp;"kg DE BANANO FRESCO")</f>
        <v>#REF!</v>
      </c>
    </row>
    <row r="33" spans="1:96" ht="16.8" customHeight="1" x14ac:dyDescent="0.3">
      <c r="A33" s="4"/>
      <c r="B33" s="64"/>
      <c r="C33" s="4"/>
      <c r="D33" s="4"/>
      <c r="E33" s="4"/>
      <c r="AO33" s="71" t="str">
        <f>BA21&amp;AZ15</f>
        <v>Españolconventional Fairtrade banana</v>
      </c>
      <c r="AP33" s="71" t="str">
        <f>AZ21</f>
        <v>banano Fairtrade convencional</v>
      </c>
      <c r="AQ33" s="72">
        <v>2</v>
      </c>
      <c r="AR33" s="72" t="str">
        <f t="shared" si="18"/>
        <v>EnglishPeru</v>
      </c>
      <c r="AS33" s="72" t="str">
        <f t="shared" si="19"/>
        <v>Peru</v>
      </c>
      <c r="AT33" s="72"/>
      <c r="AU33" s="72"/>
      <c r="AY33" s="72" t="str">
        <f t="shared" si="16"/>
        <v>FrançaisPérou</v>
      </c>
      <c r="AZ33" s="72" t="str">
        <f t="shared" si="20"/>
        <v>Pérou</v>
      </c>
      <c r="BA33" s="94" t="str">
        <f>BE4</f>
        <v>Français</v>
      </c>
      <c r="CO33" s="71" t="s">
        <v>21</v>
      </c>
      <c r="CP33" s="71" t="s">
        <v>54</v>
      </c>
      <c r="CQ33" s="71" t="s">
        <v>55</v>
      </c>
      <c r="CR33" s="71" t="s">
        <v>29</v>
      </c>
    </row>
    <row r="34" spans="1:96" ht="45" customHeight="1" x14ac:dyDescent="0.3">
      <c r="AO34" s="71" t="str">
        <f>BA22&amp;AZ16</f>
        <v>Españolorganic Fairtrade banana</v>
      </c>
      <c r="AP34" s="71" t="str">
        <f>AZ22</f>
        <v>banano Fairtrade orgánico</v>
      </c>
      <c r="AQ34" s="72">
        <v>3</v>
      </c>
      <c r="AR34" s="72" t="str">
        <f t="shared" si="18"/>
        <v>EnglishColômbia</v>
      </c>
      <c r="AS34" s="72" t="str">
        <f t="shared" si="19"/>
        <v>Colombia</v>
      </c>
      <c r="AT34" s="72"/>
      <c r="AU34" s="72"/>
      <c r="AY34" s="72" t="str">
        <f t="shared" si="16"/>
        <v>FrançaisColombie</v>
      </c>
      <c r="AZ34" s="72" t="str">
        <f t="shared" si="20"/>
        <v>Colombie</v>
      </c>
      <c r="BA34" s="94" t="str">
        <f>BE4</f>
        <v>Français</v>
      </c>
      <c r="BM34" s="72" t="s">
        <v>183</v>
      </c>
      <c r="BN34" s="72" t="s">
        <v>182</v>
      </c>
      <c r="BO34" s="72" t="s">
        <v>186</v>
      </c>
      <c r="BP34" s="72" t="s">
        <v>181</v>
      </c>
      <c r="BQ34" s="72" t="s">
        <v>187</v>
      </c>
      <c r="BR34" s="72" t="s">
        <v>180</v>
      </c>
      <c r="BS34" s="72" t="s">
        <v>185</v>
      </c>
      <c r="BT34" s="72" t="s">
        <v>188</v>
      </c>
      <c r="BU34" s="72" t="s">
        <v>184</v>
      </c>
      <c r="CO34" s="71" t="str">
        <f t="shared" ref="CO34:CO38" si="21">CO16</f>
        <v>• Price of the standard carton box (sin incluir the value added tax), that was used as reference in 2025 for estimating the Fairtrade Minimum Price for Fairtrade banana from 0 for 2026:</v>
      </c>
      <c r="CP34" s="71" t="str">
        <f t="shared" ref="CP34:CQ34" si="22">CP16</f>
        <v>• Prix de la caisse en carton standard (sin incluir la taxe sur la valeur ajoutée), qui a été utilisé de référence dans 2025 pour estimer le prix minimum Fairtrade pour les bananes Fairtrade de 0 pour 2026:</v>
      </c>
      <c r="CQ34" s="71" t="str">
        <f t="shared" si="22"/>
        <v>• Preço por caixa de cartão standard (sin incluir o imposto sobre o valor acrescentado), que foi utilizado como referência en 2025 para estimar o Preço Mínimo de Comércio Justo para bananas de Comércio Justo de 0 para 2026:</v>
      </c>
      <c r="CR34" s="71" t="str">
        <f>CR16</f>
        <v>• Precio de la caja de cartón estándar (sin incluir el impuesto al valor agregado), que se utilizó como referencia en 2025 para estimar el Precio Mínimo Fairtrade para banano Fairtrade de 0 para 2026:</v>
      </c>
    </row>
    <row r="35" spans="1:96" ht="36.6" customHeight="1" x14ac:dyDescent="0.3">
      <c r="AO35" s="71" t="str">
        <f>BA21&amp;AZ17</f>
        <v>Españolbanane conventionnelle du commerce équitable</v>
      </c>
      <c r="AP35" s="71" t="str">
        <f>AP33</f>
        <v>banano Fairtrade convencional</v>
      </c>
      <c r="AQ35" s="72">
        <v>4</v>
      </c>
      <c r="AR35" s="72" t="str">
        <f t="shared" si="18"/>
        <v>EnglishEquador</v>
      </c>
      <c r="AS35" s="72" t="str">
        <f t="shared" si="19"/>
        <v>Ecuador</v>
      </c>
      <c r="AT35" s="72"/>
      <c r="AU35" s="72"/>
      <c r="AY35" s="72" t="str">
        <f t="shared" si="16"/>
        <v>FrançaisÉquateur</v>
      </c>
      <c r="AZ35" s="72" t="str">
        <f t="shared" si="20"/>
        <v>Équateur</v>
      </c>
      <c r="BA35" s="94" t="str">
        <f>BE4</f>
        <v>Français</v>
      </c>
      <c r="BD35" s="88" t="s">
        <v>82</v>
      </c>
      <c r="BE35" s="89" t="s">
        <v>83</v>
      </c>
      <c r="BF35" s="89" t="s">
        <v>84</v>
      </c>
      <c r="BG35" s="89" t="s">
        <v>85</v>
      </c>
      <c r="BL35" s="72" t="e" cm="1">
        <f t="array" ref="BL35">INDEX(BM35:BU39,,MATCH(BM31,BM34:BU34,0))</f>
        <v>#N/A</v>
      </c>
      <c r="BM35" s="72" t="str">
        <f>BN8</f>
        <v>Bolivar</v>
      </c>
      <c r="BN35" s="74" t="str">
        <f>IF(BH22=C9,BT32,BT31)</f>
        <v>Turbo/Santa Marta</v>
      </c>
      <c r="BO35" s="72" t="str">
        <f>BN11</f>
        <v>Manzanillo</v>
      </c>
      <c r="BP35" s="72" t="str">
        <f>BN6</f>
        <v>Paita</v>
      </c>
      <c r="BQ35" s="72" t="str">
        <f>BN12</f>
        <v>Corinto</v>
      </c>
      <c r="BR35" s="72" t="str">
        <f>BN5</f>
        <v>Moin (Costa Rica)</v>
      </c>
      <c r="BS35" s="72" t="str">
        <f>BN10</f>
        <v>Tema</v>
      </c>
      <c r="BT35" s="72" t="str">
        <f>BN13</f>
        <v>Douala</v>
      </c>
      <c r="BU35" s="72" t="str">
        <f>BN9</f>
        <v>Abidjan</v>
      </c>
      <c r="CO35" s="71" t="str">
        <f t="shared" si="21"/>
        <v>• Banana volume per standard carton box (that was used as unit of measurement for estimating the Fairtrade Minimum Price for Fairtrade banana from 0 for 2026):</v>
      </c>
      <c r="CP35" s="71" t="str">
        <f t="shared" ref="CP35:CQ35" si="23">CP17</f>
        <v>• Volume de bananes par caisse en carton standard (qui a été utilisé comme unité de mesure pour estimer le prix minimum du commerce équitable pour les bananes Fairtrade de 0 pour 2026):</v>
      </c>
      <c r="CQ35" s="71" t="str">
        <f t="shared" si="23"/>
        <v>• Volume de bananas por caixa de cartão standard (que foi utilizada como unidade de medida para estimar o Preço Mínimo de Comércio Justo para bananas de Comércio Justo de 0 para 2026):</v>
      </c>
      <c r="CR35" s="71" t="str">
        <f>CR17</f>
        <v>• Volumen de banano por caja de cartón estándar (que se utilizó como unidad de medida para estimar el Precio Mínimo Fairtrade para banano Fairtrade de 0 para 2026):</v>
      </c>
    </row>
    <row r="36" spans="1:96" ht="36.6" customHeight="1" x14ac:dyDescent="0.3">
      <c r="AO36" s="71" t="str">
        <f>BA22&amp;AZ18</f>
        <v>Españolbanane biologique du commerce équitable</v>
      </c>
      <c r="AP36" s="71" t="str">
        <f t="shared" ref="AP36:AP38" si="24">AP34</f>
        <v>banano Fairtrade orgánico</v>
      </c>
      <c r="AQ36" s="72">
        <v>5</v>
      </c>
      <c r="AR36" s="72" t="str">
        <f>BA27&amp;AZ45</f>
        <v>EnglishCosta do Marfim</v>
      </c>
      <c r="AS36" s="72" t="str">
        <f t="shared" si="19"/>
        <v>Ivory Coast</v>
      </c>
      <c r="AT36" s="72"/>
      <c r="AU36" s="72"/>
      <c r="AY36" s="72" t="str">
        <f t="shared" si="16"/>
        <v>FrançaisCôte d'Ivoire</v>
      </c>
      <c r="AZ36" s="72" t="str">
        <f t="shared" si="20"/>
        <v>Côte d'Ivoire</v>
      </c>
      <c r="BA36" s="94" t="str">
        <f>BE4</f>
        <v>Français</v>
      </c>
      <c r="BD36" s="71" t="s">
        <v>150</v>
      </c>
      <c r="BE36" s="71" t="s">
        <v>190</v>
      </c>
      <c r="BF36" s="71" t="s">
        <v>197</v>
      </c>
      <c r="BG36" s="71" t="s">
        <v>152</v>
      </c>
      <c r="BH36" s="71" t="str">
        <f t="shared" ref="BH36:BH46" si="25">IF($D$2=$CJ$4,BD36,
IF($D$2=$CJ$5,BE36,
IF($D$2=$CJ$6,BF36,
BG36)))</f>
        <v>Guayaquil (llegando a puerto desde Machala)</v>
      </c>
      <c r="BM36" s="72" t="str">
        <f>BH36</f>
        <v>Guayaquil (llegando a puerto desde Machala)</v>
      </c>
      <c r="BO36" s="72" t="s">
        <v>116</v>
      </c>
      <c r="BQ36" s="72" t="s">
        <v>179</v>
      </c>
      <c r="BV36" s="72" t="s">
        <v>19</v>
      </c>
      <c r="CO36" s="71" t="str">
        <f t="shared" si="21"/>
        <v>Fairtrade Minimum Price</v>
      </c>
      <c r="CP36" s="71" t="s">
        <v>57</v>
      </c>
      <c r="CQ36" s="71" t="s">
        <v>56</v>
      </c>
      <c r="CR36" s="71" t="str">
        <f>CR18</f>
        <v>Precio Mínimo Fairtrade</v>
      </c>
    </row>
    <row r="37" spans="1:96" ht="17.399999999999999" customHeight="1" x14ac:dyDescent="0.3">
      <c r="G37" s="58"/>
      <c r="AO37" s="71" t="str">
        <f>BA21&amp;AZ19</f>
        <v>Españolbanana convencional de comércio justo</v>
      </c>
      <c r="AP37" s="71" t="str">
        <f t="shared" si="24"/>
        <v>banano Fairtrade convencional</v>
      </c>
      <c r="AQ37" s="72">
        <v>6</v>
      </c>
      <c r="AR37" s="72" t="str">
        <f>BA28&amp;AZ46</f>
        <v>EnglishGana</v>
      </c>
      <c r="AS37" s="72" t="str">
        <f t="shared" si="19"/>
        <v>Ghana</v>
      </c>
      <c r="AT37" s="72"/>
      <c r="AU37" s="72"/>
      <c r="AY37" s="72" t="str">
        <f t="shared" si="16"/>
        <v>FrançaisGhana</v>
      </c>
      <c r="AZ37" s="72" t="str">
        <f t="shared" si="20"/>
        <v>Ghana</v>
      </c>
      <c r="BA37" s="94" t="str">
        <f>BE4</f>
        <v>Français</v>
      </c>
      <c r="BD37" s="71" t="s">
        <v>176</v>
      </c>
      <c r="BE37" s="71" t="s">
        <v>192</v>
      </c>
      <c r="BF37" s="71" t="s">
        <v>198</v>
      </c>
      <c r="BG37" s="71" t="s">
        <v>191</v>
      </c>
      <c r="BH37" s="71" t="str">
        <f t="shared" si="25"/>
        <v>Guyaquil (llegando a puerto desde Santa Elena)</v>
      </c>
      <c r="BM37" s="72" t="str">
        <f>BH37</f>
        <v>Guyaquil (llegando a puerto desde Santa Elena)</v>
      </c>
      <c r="CO37" s="71" t="str">
        <f t="shared" si="21"/>
        <v>• FOB Fairtrade Minimum Price,  port, for  from 0 for 2026, in Euros per box of 18.14kg:</v>
      </c>
      <c r="CP37" s="71" t="str">
        <f t="shared" ref="CP37:CQ37" si="26">CP19</f>
        <v>• Prix minimum Fairtrade FOB, port , pour  provenant de 0 pour 2026, en Euros par caisse de 18.14kg:</v>
      </c>
      <c r="CQ37" s="71" t="str">
        <f t="shared" si="26"/>
        <v>• Preço Mínimo Fairtrade FOB, porto , para  de 0 para 2026, em Euros por caixa de 18.14kg:</v>
      </c>
      <c r="CR37" s="71" t="str">
        <f>CR19</f>
        <v>• Precio Mínimo Fairtrade FOB, puerto , para  de 0 para 2026, en Euros por caja de 18.14kg:</v>
      </c>
    </row>
    <row r="38" spans="1:96" ht="29.4" customHeight="1" x14ac:dyDescent="0.3">
      <c r="G38" s="58"/>
      <c r="AO38" s="71" t="str">
        <f>BA22&amp;AZ20</f>
        <v>Españolbanana biológica de comércio justo</v>
      </c>
      <c r="AP38" s="71" t="str">
        <f t="shared" si="24"/>
        <v>banano Fairtrade orgánico</v>
      </c>
      <c r="AQ38" s="72">
        <v>7</v>
      </c>
      <c r="AR38" s="72" t="str">
        <f>BA29&amp;AZ47</f>
        <v>EnglishRepública Dominicana</v>
      </c>
      <c r="AS38" s="72" t="str">
        <f t="shared" si="19"/>
        <v>Dominican Republic</v>
      </c>
      <c r="AT38" s="72"/>
      <c r="AU38" s="72"/>
      <c r="AY38" s="72" t="str">
        <f t="shared" si="16"/>
        <v>FrançaisRépublique dominicaine</v>
      </c>
      <c r="AZ38" s="72" t="str">
        <f t="shared" si="20"/>
        <v>République dominicaine</v>
      </c>
      <c r="BA38" s="94" t="str">
        <f>BE4</f>
        <v>Français</v>
      </c>
      <c r="BD38" s="71" t="s">
        <v>177</v>
      </c>
      <c r="BE38" s="71" t="s">
        <v>194</v>
      </c>
      <c r="BF38" s="71" t="s">
        <v>199</v>
      </c>
      <c r="BG38" s="71" t="s">
        <v>193</v>
      </c>
      <c r="BH38" s="71" t="str">
        <f t="shared" si="25"/>
        <v>Posorja (llegando a puerto desde Santa Elena)</v>
      </c>
      <c r="BM38" s="72" t="str">
        <f>BH38</f>
        <v>Posorja (llegando a puerto desde Santa Elena)</v>
      </c>
      <c r="CO38" s="71" t="str">
        <f t="shared" si="21"/>
        <v>• Ex Works Fairtrade Minimum Price for  from 0 for 2026, in Euros per box of 18.14kg:</v>
      </c>
      <c r="CP38" s="71" t="str">
        <f t="shared" ref="CP38:CQ38" si="27">CP20</f>
        <v>• Prix minimum Fairtrade Ex Works pour  de 0 pour 2026, en Euros par caisse de 18.14kg:</v>
      </c>
      <c r="CQ38" s="71" t="str">
        <f t="shared" si="27"/>
        <v>• Preço Mínimo Fairtrade Ex Works para  da 0 para 2026, em Euros por caixa de 18.14kg:</v>
      </c>
      <c r="CR38" s="71" t="str">
        <f>CR20</f>
        <v>• Precio Mínimo Fairtrade Ex Works para  de 0 para 2026, en Euros por caja de 18.14kg:</v>
      </c>
    </row>
    <row r="39" spans="1:96" ht="29.4" customHeight="1" x14ac:dyDescent="0.3">
      <c r="AO39" s="71" t="str">
        <f>AY15</f>
        <v>Englishconventional Fairtrade banana</v>
      </c>
      <c r="AP39" s="71" t="str">
        <f>AZ15</f>
        <v>conventional Fairtrade banana</v>
      </c>
      <c r="AQ39" s="72">
        <v>8</v>
      </c>
      <c r="AR39" s="72" t="str">
        <f>BA30&amp;AZ48</f>
        <v>EnglishNicarágua</v>
      </c>
      <c r="AS39" s="72" t="str">
        <f t="shared" si="19"/>
        <v>Nicaragua</v>
      </c>
      <c r="AT39" s="72"/>
      <c r="AU39" s="72"/>
      <c r="AY39" s="72" t="str">
        <f t="shared" si="16"/>
        <v>FrançaisNicaragua</v>
      </c>
      <c r="AZ39" s="72" t="str">
        <f t="shared" si="20"/>
        <v>Nicaragua</v>
      </c>
      <c r="BA39" s="94" t="str">
        <f>BE4</f>
        <v>Français</v>
      </c>
      <c r="BD39" s="71" t="s">
        <v>178</v>
      </c>
      <c r="BE39" s="71" t="s">
        <v>196</v>
      </c>
      <c r="BF39" s="71" t="s">
        <v>200</v>
      </c>
      <c r="BG39" s="71" t="s">
        <v>195</v>
      </c>
      <c r="BH39" s="71" t="str">
        <f t="shared" si="25"/>
        <v>Posorja (llegando a puerto desde Machala)</v>
      </c>
      <c r="BM39" s="72" t="str">
        <f>BH39</f>
        <v>Posorja (llegando a puerto desde Machala)</v>
      </c>
      <c r="CO39" s="71" t="s">
        <v>140</v>
      </c>
      <c r="CP39" s="71" t="s">
        <v>61</v>
      </c>
      <c r="CQ39" s="71" t="s">
        <v>62</v>
      </c>
      <c r="CR39" s="71" t="s">
        <v>30</v>
      </c>
    </row>
    <row r="40" spans="1:96" ht="29.4" customHeight="1" x14ac:dyDescent="0.3">
      <c r="AO40" s="71" t="str">
        <f t="shared" ref="AO40:AP40" si="28">AY16</f>
        <v>Englishorganic Fairtrade banana</v>
      </c>
      <c r="AP40" s="71" t="str">
        <f t="shared" si="28"/>
        <v>organic Fairtrade banana</v>
      </c>
      <c r="AQ40" s="72">
        <v>9</v>
      </c>
      <c r="AR40" s="72" t="str">
        <f>BA31&amp;AZ49</f>
        <v>EnglishCamarões</v>
      </c>
      <c r="AS40" s="72" t="str">
        <f t="shared" si="19"/>
        <v>Cameroon</v>
      </c>
      <c r="AY40" s="72" t="str">
        <f t="shared" si="16"/>
        <v>FrançaisCameroun</v>
      </c>
      <c r="AZ40" s="72" t="str">
        <f t="shared" si="20"/>
        <v>Cameroun</v>
      </c>
      <c r="BA40" s="94" t="str">
        <f>BA39</f>
        <v>Français</v>
      </c>
      <c r="BD40" s="71" t="s">
        <v>290</v>
      </c>
      <c r="BE40" s="71" t="s">
        <v>298</v>
      </c>
      <c r="BF40" s="71" t="s">
        <v>303</v>
      </c>
      <c r="BG40" s="71" t="s">
        <v>297</v>
      </c>
      <c r="BH40" s="71" t="str">
        <f t="shared" si="25"/>
        <v>El nombre del país no está escrito en el idioma que ha elegido</v>
      </c>
      <c r="CO40" s="71" t="str">
        <f>IF(BQ14=FALSE,"",
IF($BP$14=0,"",
"• Banana volume per IFCO box (for which the Fairtrade Minimum Price will be prorated):"))</f>
        <v/>
      </c>
      <c r="CP40" s="71" t="str">
        <f>IF(BQ14=FALSE,"",
IF($BP$14=0,"",
"• Volume de bananes par boîte IFCO (pour lequel le prix minimum du commerce équitable sera calculé au prorata):"))</f>
        <v/>
      </c>
      <c r="CQ40" s="71" t="str">
        <f>IF(BQ14=FALSE,"",
IF($BP$14=0,"",
"• Volume de bananas por caixa IFCO (para o qual o Preço Mínimo de Comércio Justo será pro-rated):"))</f>
        <v/>
      </c>
      <c r="CR40" s="71" t="str">
        <f>IF(BQ14=FALSE,"",
IF($BP$14=0,"",
"• Volumen de banano por caja IFCO (para el que se prorrateará el Precio Mínimo Fairtrade):"))</f>
        <v/>
      </c>
    </row>
    <row r="41" spans="1:96" ht="29.4" customHeight="1" x14ac:dyDescent="0.3">
      <c r="AO41" s="71" t="str">
        <f t="shared" ref="AO41:AP41" si="29">AY17</f>
        <v>Françaisbanane conventionnelle du commerce équitable</v>
      </c>
      <c r="AP41" s="71" t="str">
        <f t="shared" si="29"/>
        <v>banane conventionnelle du commerce équitable</v>
      </c>
      <c r="AQ41" s="72">
        <v>1</v>
      </c>
      <c r="AR41" s="74" t="str">
        <f t="shared" ref="AR41:AR49" si="30">BA23&amp;AZ50</f>
        <v>EnglishPanamá</v>
      </c>
      <c r="AS41" s="72" t="str">
        <f t="shared" si="19"/>
        <v>Panama</v>
      </c>
      <c r="AT41" s="74" t="s">
        <v>95</v>
      </c>
      <c r="AU41" s="72" t="s">
        <v>94</v>
      </c>
      <c r="AY41" s="72" t="str">
        <f t="shared" si="16"/>
        <v>PortuguêsPanamá</v>
      </c>
      <c r="AZ41" s="95" t="str">
        <f t="shared" ref="AZ41:AZ44" si="31">BF11</f>
        <v>Panamá</v>
      </c>
      <c r="BA41" s="94" t="str">
        <f>BF4</f>
        <v>Português</v>
      </c>
      <c r="BD41" s="71" t="s">
        <v>291</v>
      </c>
      <c r="BE41" s="71" t="s">
        <v>299</v>
      </c>
      <c r="BF41" s="71" t="s">
        <v>304</v>
      </c>
      <c r="BG41" s="71" t="s">
        <v>296</v>
      </c>
      <c r="BH41" s="71" t="str">
        <f t="shared" si="25"/>
        <v>El nombre del tipo de banano Fairtrade no esta escrito en el idioma que ha elegido</v>
      </c>
      <c r="BM41" s="103" t="str">
        <f>BM34&amp;"_EXW_org"</f>
        <v>EC_EXW_org</v>
      </c>
      <c r="BN41" s="103" t="str">
        <f t="shared" ref="BN41:BU41" si="32">BN34&amp;"_EXW_org"</f>
        <v>CO_EXW_org</v>
      </c>
      <c r="BO41" s="103" t="str">
        <f t="shared" si="32"/>
        <v>DO_EXW_org</v>
      </c>
      <c r="BP41" s="103" t="str">
        <f t="shared" si="32"/>
        <v>PE_EXW_org</v>
      </c>
      <c r="BQ41" s="103" t="str">
        <f t="shared" si="32"/>
        <v>NI_EXW_org</v>
      </c>
      <c r="BR41" s="103" t="str">
        <f t="shared" si="32"/>
        <v>PA_EXW_org</v>
      </c>
      <c r="BS41" s="103" t="str">
        <f t="shared" si="32"/>
        <v>GH_EXW_org</v>
      </c>
      <c r="BT41" s="103" t="str">
        <f t="shared" si="32"/>
        <v>CM_EXW_org</v>
      </c>
      <c r="BU41" s="103" t="str">
        <f t="shared" si="32"/>
        <v>CI_EXW_org</v>
      </c>
      <c r="BV41" s="103"/>
      <c r="CO41" s="71" t="str">
        <f>IF($BQ$14=FALSE,"",
IF($BP$14=0,"",
IF(ISBLANK(#REF!),"",
"• "&amp;CO81)))</f>
        <v/>
      </c>
      <c r="CP41" s="71" t="str">
        <f>IF($BQ$14=FALSE,"",
IF($BP$14=0,"",
IF(ISBLANK(#REF!),"",
"• "&amp;CP81)))</f>
        <v/>
      </c>
      <c r="CQ41" s="71" t="str">
        <f>IF($BQ$14=FALSE,"",
IF($BP$14=0,"",
IF(ISBLANK(#REF!),"",
"• "&amp;CQ81)))</f>
        <v/>
      </c>
      <c r="CR41" s="71" t="str">
        <f>IF($BQ$14=FALSE,"",
IF($BP$14=0,"",
IF(ISBLANK(#REF!),"",
"• "&amp;CR81)))</f>
        <v/>
      </c>
    </row>
    <row r="42" spans="1:96" x14ac:dyDescent="0.3">
      <c r="F42" s="60"/>
      <c r="AO42" s="71" t="str">
        <f t="shared" ref="AO42:AP42" si="33">AY18</f>
        <v>Françaisbanane biologique du commerce équitable</v>
      </c>
      <c r="AP42" s="71" t="str">
        <f t="shared" si="33"/>
        <v>banane biologique du commerce équitable</v>
      </c>
      <c r="AQ42" s="72">
        <v>2</v>
      </c>
      <c r="AR42" s="72" t="str">
        <f t="shared" si="30"/>
        <v>EnglishPerú</v>
      </c>
      <c r="AS42" s="72" t="str">
        <f t="shared" si="19"/>
        <v>Peru</v>
      </c>
      <c r="AT42" s="72"/>
      <c r="AU42" s="72"/>
      <c r="AY42" s="72" t="str">
        <f t="shared" si="16"/>
        <v>PortuguêsPeru</v>
      </c>
      <c r="AZ42" s="95" t="str">
        <f t="shared" si="31"/>
        <v>Peru</v>
      </c>
      <c r="BA42" s="94" t="str">
        <f>BF4</f>
        <v>Português</v>
      </c>
      <c r="BD42" s="71" t="str">
        <f>"There is no Fairtrade Minimum Price for "&amp;C9&amp;" from "&amp;C8</f>
        <v xml:space="preserve">There is no Fairtrade Minimum Price for  from </v>
      </c>
      <c r="BE42" s="71" t="s">
        <v>300</v>
      </c>
      <c r="BF42" s="71" t="s">
        <v>305</v>
      </c>
      <c r="BG42" s="71" t="str">
        <f>"No existe un Precio Mínimo para "&amp;C9&amp;" de "&amp;C8</f>
        <v xml:space="preserve">No existe un Precio Mínimo para  de </v>
      </c>
      <c r="BH42" s="71" t="str">
        <f>IF($D$2=$CJ$4,BD42,
IF($D$2=$CJ$5,BE42,
IF($D$2=$CJ$6,BF42,
BG42)))</f>
        <v xml:space="preserve">No existe un Precio Mínimo para  de </v>
      </c>
      <c r="BM42" s="101">
        <f>BP129</f>
        <v>10.65</v>
      </c>
      <c r="BN42" s="101">
        <f>BP128</f>
        <v>10.75</v>
      </c>
      <c r="BO42" s="101">
        <f>BP124</f>
        <v>10.9</v>
      </c>
      <c r="BP42" s="101">
        <f>BP130</f>
        <v>10.15</v>
      </c>
      <c r="BS42" s="101">
        <f>BP125</f>
        <v>11.65</v>
      </c>
      <c r="BU42" s="101">
        <f>BP126</f>
        <v>12.2</v>
      </c>
      <c r="CO42" s="71" t="str">
        <f t="shared" ref="CO42:CQ42" si="34">CO24</f>
        <v>Prorate</v>
      </c>
      <c r="CP42" s="71" t="str">
        <f t="shared" si="34"/>
        <v>Répartition</v>
      </c>
      <c r="CQ42" s="71" t="str">
        <f t="shared" si="34"/>
        <v>Rateio</v>
      </c>
      <c r="CR42" s="71" t="str">
        <f>CR24</f>
        <v>Prorrateo</v>
      </c>
    </row>
    <row r="43" spans="1:96" ht="24" customHeight="1" x14ac:dyDescent="0.3">
      <c r="AO43" s="71" t="str">
        <f t="shared" ref="AO43:AP43" si="35">AY19</f>
        <v>Portuguêsbanana convencional de comércio justo</v>
      </c>
      <c r="AP43" s="71" t="str">
        <f t="shared" si="35"/>
        <v>banana convencional de comércio justo</v>
      </c>
      <c r="AQ43" s="72">
        <v>3</v>
      </c>
      <c r="AR43" s="72" t="str">
        <f t="shared" si="30"/>
        <v>EnglishColombia</v>
      </c>
      <c r="AS43" s="72" t="str">
        <f t="shared" si="19"/>
        <v>Colombia</v>
      </c>
      <c r="AT43" s="72"/>
      <c r="AU43" s="72"/>
      <c r="AY43" s="72" t="str">
        <f t="shared" si="16"/>
        <v>PortuguêsColômbia</v>
      </c>
      <c r="AZ43" s="95" t="str">
        <f t="shared" si="31"/>
        <v>Colômbia</v>
      </c>
      <c r="BA43" s="94" t="str">
        <f>BF4</f>
        <v>Português</v>
      </c>
      <c r="BD43" s="71" t="s">
        <v>292</v>
      </c>
      <c r="BE43" s="71" t="s">
        <v>301</v>
      </c>
      <c r="BF43" s="71" t="s">
        <v>306</v>
      </c>
      <c r="BG43" s="71" t="s">
        <v>295</v>
      </c>
      <c r="BH43" s="71" t="str">
        <f t="shared" si="25"/>
        <v>El nombre del puerto no está escrito en el idioma ha elegido</v>
      </c>
      <c r="CO43" s="71" t="str">
        <f>IF(BQ14=FALSE,"",
IF($BP$14=0,"",
IF(OR(ISBLANK(#REF!),ISBLANK(#REF!)),"",
"• Prorated "&amp;$C$11&amp;" Fairtrade Minimum Price "&amp;$BK$4&amp;" per IFCO crate of "&amp;#REF!&amp;"kg of "&amp;$C$9&amp;" from "&amp;$C$8&amp;":")))</f>
        <v/>
      </c>
      <c r="CP43" s="71" t="str">
        <f>IF(BQ14=FALSE,"",
IF($BP$14=0,"",
IF(OR(ISBLANK(#REF!),ISBLANK(#REF!)),"",
"• Prix minimum Fairtrade "&amp;$C$11&amp;" "&amp;$BK$4&amp;" Répartition pour la boîte IFCO de "&amp;#REF!&amp;"kg de "&amp;$C$9&amp;" de "&amp;$C$8&amp;":")))</f>
        <v/>
      </c>
      <c r="CQ43" s="71" t="str">
        <f>IF(BQ14=FALSE,"",
IF($BP$14=0,"",
IF(OR(ISBLANK(#REF!),ISBLANK(#REF!)),"",
"• Preço mínimo Fairtrade "&amp;$C$11&amp;" "&amp;$BK$4&amp;" Repartido para a caixa IFCO de "&amp;#REF!&amp;"kg de "&amp;$C$9&amp;" de "&amp;$C$8&amp;":")))</f>
        <v/>
      </c>
      <c r="CR43" s="71" t="str">
        <f>IF(BQ14=FALSE,"",
IF($BP$14=0,"",
IF(OR(ISBLANK(#REF!),ISBLANK(#REF!)),"",
"• Precio Mínimo Fairtrade "&amp;$C$11&amp;" "&amp;$BK$4&amp;" Prorrateado para caja IFCO de "&amp;#REF!&amp;"kg de "&amp;$C$9&amp;" de "&amp;$C$8&amp;":")))</f>
        <v/>
      </c>
    </row>
    <row r="44" spans="1:96" ht="60.6" customHeight="1" x14ac:dyDescent="0.3">
      <c r="AO44" s="71" t="str">
        <f t="shared" ref="AO44:AP44" si="36">AY20</f>
        <v>Portuguêsbanana biológica de comércio justo</v>
      </c>
      <c r="AP44" s="71" t="str">
        <f t="shared" si="36"/>
        <v>banana biológica de comércio justo</v>
      </c>
      <c r="AQ44" s="72">
        <v>4</v>
      </c>
      <c r="AR44" s="72" t="str">
        <f t="shared" si="30"/>
        <v>EnglishEcuador</v>
      </c>
      <c r="AS44" s="72" t="str">
        <f t="shared" si="19"/>
        <v>Ecuador</v>
      </c>
      <c r="AT44" s="72"/>
      <c r="AU44" s="72"/>
      <c r="AY44" s="72" t="str">
        <f t="shared" si="16"/>
        <v>PortuguêsEquador</v>
      </c>
      <c r="AZ44" s="95" t="str">
        <f t="shared" si="31"/>
        <v>Equador</v>
      </c>
      <c r="BA44" s="94" t="str">
        <f>BF4</f>
        <v>Português</v>
      </c>
      <c r="BD44" s="71" t="s">
        <v>293</v>
      </c>
      <c r="BE44" s="71" t="s">
        <v>302</v>
      </c>
      <c r="BF44" s="71" t="s">
        <v>307</v>
      </c>
      <c r="BG44" s="71" t="s">
        <v>294</v>
      </c>
      <c r="BH44" s="71" t="str">
        <f t="shared" si="25"/>
        <v>El nombre del puerto no corresponde al país que ha elegido</v>
      </c>
      <c r="BL44" s="81"/>
      <c r="BM44" s="72" t="str">
        <f>BM34&amp;"_EXW_con"</f>
        <v>EC_EXW_con</v>
      </c>
      <c r="BN44" s="72" t="str">
        <f>BN34&amp;"_EXW_con"</f>
        <v>CO_EXW_con</v>
      </c>
      <c r="BO44" s="72" t="str">
        <f t="shared" ref="BO44:BU44" si="37">BO34&amp;"_EXW_con"</f>
        <v>DO_EXW_con</v>
      </c>
      <c r="BP44" s="72" t="str">
        <f t="shared" si="37"/>
        <v>PE_EXW_con</v>
      </c>
      <c r="BQ44" s="72" t="str">
        <f t="shared" si="37"/>
        <v>NI_EXW_con</v>
      </c>
      <c r="BR44" s="72" t="str">
        <f t="shared" si="37"/>
        <v>PA_EXW_con</v>
      </c>
      <c r="BS44" s="72" t="str">
        <f t="shared" si="37"/>
        <v>GH_EXW_con</v>
      </c>
      <c r="BT44" s="72" t="str">
        <f t="shared" si="37"/>
        <v>CM_EXW_con</v>
      </c>
      <c r="BU44" s="72" t="str">
        <f t="shared" si="37"/>
        <v>CI_EXW_con</v>
      </c>
      <c r="CP44" s="71" t="s">
        <v>19</v>
      </c>
    </row>
    <row r="45" spans="1:96" ht="20.399999999999999" customHeight="1" x14ac:dyDescent="0.3">
      <c r="AO45" s="71" t="str">
        <f>AY21</f>
        <v>Españolbanano Fairtrade convencional</v>
      </c>
      <c r="AP45" s="71" t="str">
        <f>AZ21</f>
        <v>banano Fairtrade convencional</v>
      </c>
      <c r="AQ45" s="72">
        <v>5</v>
      </c>
      <c r="AR45" s="72" t="str">
        <f t="shared" si="30"/>
        <v>EnglishCosta de Marfil</v>
      </c>
      <c r="AS45" s="72" t="str">
        <f>AS36</f>
        <v>Ivory Coast</v>
      </c>
      <c r="AT45" s="72"/>
      <c r="AU45" s="72"/>
      <c r="AY45" s="72" t="str">
        <f t="shared" si="16"/>
        <v>PortuguêsCosta do Marfim</v>
      </c>
      <c r="AZ45" s="95" t="str">
        <f>BF15</f>
        <v>Costa do Marfim</v>
      </c>
      <c r="BA45" s="94" t="str">
        <f>BF4</f>
        <v>Português</v>
      </c>
      <c r="BD45" s="71" t="s">
        <v>311</v>
      </c>
      <c r="BE45" s="71" t="s">
        <v>326</v>
      </c>
      <c r="BF45" s="71" t="s">
        <v>313</v>
      </c>
      <c r="BG45" s="71" t="s">
        <v>312</v>
      </c>
      <c r="BH45" s="71" t="str">
        <f t="shared" si="25"/>
        <v>caja</v>
      </c>
      <c r="BL45" s="81"/>
      <c r="BM45" s="101">
        <f>BP140</f>
        <v>7.85</v>
      </c>
      <c r="BN45" s="101">
        <f>BP138</f>
        <v>8.6999999999999993</v>
      </c>
      <c r="BO45" s="101">
        <f>BP134</f>
        <v>8.4</v>
      </c>
      <c r="BQ45" s="101">
        <f>BP141</f>
        <v>7.7</v>
      </c>
      <c r="BR45" s="101">
        <f>BP142</f>
        <v>8.25</v>
      </c>
      <c r="BS45" s="101">
        <f>BP135</f>
        <v>8.85</v>
      </c>
      <c r="BT45" s="101">
        <f>BP133</f>
        <v>8.5500000000000007</v>
      </c>
      <c r="BU45" s="101">
        <f>BP136</f>
        <v>10.1</v>
      </c>
      <c r="CO45" s="71" t="str">
        <f>IF(BQ14=FALSE,"",
IF($BP$14=0,"",
IF(OR(ISBLANK(#REF!),ISBLANK(#REF!)),"",
IF(OR($C$11=$BV$6,#REF!=""),"","• Prorated Ex Works Fairtrade Minimum Price "&amp;$BK$4&amp;" per IFCO crate of "&amp;#REF!&amp;"kg of "&amp;$C$9&amp;" from "&amp;$C$8&amp;":"))))</f>
        <v/>
      </c>
      <c r="CP45" s="71" t="str">
        <f>IF(BQ14=FALSE,"",
IF($BP$14=0,"",
IF(OR(ISBLANK(#REF!),ISBLANK(#REF!)),"",
IF(OR($C$11=$BV$6,#REF!=""),"","• Prix minimum Fairtrade Ex Works "&amp;$BK$4&amp;" Répartition pour la boîte IFCO de "&amp;#REF!&amp;"kg de "&amp;$C$9&amp;" de "&amp;$C$8&amp;":"))))</f>
        <v/>
      </c>
      <c r="CQ45" s="71" t="str">
        <f>IF(BQ14=FALSE,"",
IF($BP$14=0,"",
IF(OR(ISBLANK(#REF!),ISBLANK(#REF!)),"",
IF(OR($C$11=$BV$6,#REF!=""),"","• Precio Mínimo Fairtrade Ex Works "&amp;$BK$4&amp;" Repartido para a caixa IFCO de "&amp;#REF!&amp;"kg de "&amp;$C$9&amp;" de "&amp;$C$8&amp;":"))))</f>
        <v/>
      </c>
      <c r="CR45" s="71" t="str">
        <f>IF(BQ14=FALSE,"",
IF($BP$14=0,"",
IF(OR(ISBLANK(#REF!),ISBLANK(#REF!)),"",
IF(OR($C$11=$BV$6,#REF!=""),"","• Precio Mínimo Fairtrade Ex Works "&amp;$BK$4&amp;" Prorrateado para caja IFCO de "&amp;#REF!&amp;"kg de "&amp;$C$9&amp;" de "&amp;$C$8&amp;":"))))</f>
        <v/>
      </c>
    </row>
    <row r="46" spans="1:96" ht="19.2" customHeight="1" x14ac:dyDescent="0.3">
      <c r="AO46" s="71" t="str">
        <f>AY22</f>
        <v>Españolbanano Fairtrade orgánico</v>
      </c>
      <c r="AP46" s="71" t="str">
        <f>AZ22</f>
        <v>banano Fairtrade orgánico</v>
      </c>
      <c r="AQ46" s="72">
        <v>6</v>
      </c>
      <c r="AR46" s="72" t="str">
        <f t="shared" si="30"/>
        <v>EnglishGana</v>
      </c>
      <c r="AS46" s="72" t="str">
        <f>AS37</f>
        <v>Ghana</v>
      </c>
      <c r="AT46" s="72"/>
      <c r="AU46" s="72"/>
      <c r="AY46" s="72" t="str">
        <f t="shared" si="16"/>
        <v>PortuguêsGana</v>
      </c>
      <c r="AZ46" s="95" t="str">
        <f>BF16</f>
        <v>Gana</v>
      </c>
      <c r="BA46" s="94" t="str">
        <f>BF4</f>
        <v>Português</v>
      </c>
      <c r="BD46" s="71" t="str">
        <f>IF(OR(C8=BM23,C8=BM26),"Euros","US dollars")</f>
        <v>Euros</v>
      </c>
      <c r="BE46" s="71" t="str">
        <f>IF(OR(C8=BM23,C8=BM26),"Euros","dollars américains")</f>
        <v>Euros</v>
      </c>
      <c r="BF46" s="71" t="str">
        <f>IF(OR(C8=BM23,C8=BM26),"Euros","dólares americanos")</f>
        <v>Euros</v>
      </c>
      <c r="BG46" s="71" t="str">
        <f>IF(OR(C8=BM23,C8=BM26),"Euros","dólares americanos")</f>
        <v>Euros</v>
      </c>
      <c r="BH46" s="71" t="str">
        <f t="shared" si="25"/>
        <v>Euros</v>
      </c>
      <c r="BL46" s="81"/>
    </row>
    <row r="47" spans="1:96" ht="19.2" customHeight="1" x14ac:dyDescent="0.5">
      <c r="F47" s="59"/>
      <c r="AQ47" s="72">
        <v>7</v>
      </c>
      <c r="AR47" s="72" t="str">
        <f t="shared" si="30"/>
        <v>EnglishRepública Dominicana</v>
      </c>
      <c r="AS47" s="72" t="str">
        <f>AS38</f>
        <v>Dominican Republic</v>
      </c>
      <c r="AT47" s="72"/>
      <c r="AU47" s="72"/>
      <c r="AY47" s="72" t="str">
        <f t="shared" si="16"/>
        <v>PortuguêsRepública Dominicana</v>
      </c>
      <c r="AZ47" s="95" t="str">
        <f>BF17</f>
        <v>República Dominicana</v>
      </c>
      <c r="BA47" s="94" t="str">
        <f>BF4</f>
        <v>Português</v>
      </c>
      <c r="BH47" s="100"/>
      <c r="BM47" s="72" t="str">
        <f>BM34&amp;"_FOB_org"</f>
        <v>EC_FOB_org</v>
      </c>
      <c r="BN47" s="72" t="str">
        <f t="shared" ref="BN47:BU47" si="38">BN34&amp;"_FOB_org"</f>
        <v>CO_FOB_org</v>
      </c>
      <c r="BO47" s="72" t="str">
        <f t="shared" si="38"/>
        <v>DO_FOB_org</v>
      </c>
      <c r="BP47" s="72" t="str">
        <f t="shared" si="38"/>
        <v>PE_FOB_org</v>
      </c>
      <c r="BQ47" s="72" t="str">
        <f t="shared" si="38"/>
        <v>NI_FOB_org</v>
      </c>
      <c r="BR47" s="72" t="str">
        <f t="shared" si="38"/>
        <v>PA_FOB_org</v>
      </c>
      <c r="BS47" s="72" t="str">
        <f t="shared" si="38"/>
        <v>GH_FOB_org</v>
      </c>
      <c r="BT47" s="72" t="str">
        <f t="shared" si="38"/>
        <v>CM_FOB_org</v>
      </c>
      <c r="BU47" s="72" t="str">
        <f t="shared" si="38"/>
        <v>CI_FOB_org</v>
      </c>
      <c r="CO47" s="71" t="str">
        <f>IF(BQ14=FALSE,"",
IF($BP$14=0,"",
IF(OR(ISBLANK(#REF!),ISBLANK(#REF!)),"",
IF(OR($C$11=$BV$6,#REF!=""),"","• Prorated Fairtrade Premium "&amp;$BK$4&amp;" per IFCO crate of "&amp;#REF!&amp;"kg of "&amp;$C$9&amp;" from "&amp;$C$8&amp;":"))))</f>
        <v/>
      </c>
      <c r="CP47" s="71" t="str">
        <f>IF(BQ14=FALSE,"",
IF($BP$14=0,"",
IF(OR(ISBLANK(#REF!),ISBLANK(#REF!)),"",
IF(OR($C$11=$BV$6,#REF!=""),"","• Prime Fairtrade "&amp;$BK$4&amp;" Répartition pour la boîte IFCO de "&amp;#REF!&amp;"kg de "&amp;$C$9&amp;" de "&amp;$C$8&amp;":"))))</f>
        <v/>
      </c>
      <c r="CQ47" s="71" t="str">
        <f>IF(BQ14=FALSE,"",
IF($BP$14=0,"",
IF(OR(ISBLANK(#REF!),ISBLANK(#REF!)),"",
IF(OR($C$11=$BV$6,#REF!=""),"","• Prémio Fairtrade "&amp;$BK$4&amp;" Repartido para a caixa IFCO de "&amp;#REF!&amp;"kg de "&amp;$C$9&amp;" de "&amp;$C$8&amp;":"))))</f>
        <v/>
      </c>
      <c r="CR47" s="71" t="str">
        <f>IF(BQ14=FALSE,"",
IF($BP$14=0,"",
IF(OR(ISBLANK(#REF!),ISBLANK(#REF!)),"",
IF(OR($C$11=$BV$6,#REF!=""),"","• Prima Fairtrade "&amp;$BK$4&amp;" Prorrateada por caja IFCO de "&amp;#REF!&amp;"kg de "&amp;$C$9&amp;" de "&amp;$C$8&amp;":"))))</f>
        <v/>
      </c>
    </row>
    <row r="48" spans="1:96" ht="19.2" customHeight="1" x14ac:dyDescent="0.5">
      <c r="F48" s="58"/>
      <c r="AQ48" s="72">
        <v>8</v>
      </c>
      <c r="AR48" s="72" t="str">
        <f t="shared" si="30"/>
        <v>EnglishNicaragua</v>
      </c>
      <c r="AS48" s="72" t="str">
        <f>AS39</f>
        <v>Nicaragua</v>
      </c>
      <c r="AT48" s="72"/>
      <c r="AU48" s="72"/>
      <c r="AY48" s="72" t="str">
        <f t="shared" si="16"/>
        <v>PortuguêsNicarágua</v>
      </c>
      <c r="AZ48" s="95" t="str">
        <f>BF18</f>
        <v>Nicarágua</v>
      </c>
      <c r="BA48" s="94" t="str">
        <f>BF4</f>
        <v>Português</v>
      </c>
      <c r="BH48" s="100"/>
      <c r="BL48" s="81" t="e" cm="1">
        <f t="array" ref="BL48">INDEX(BM35:BU39,,MATCH(BM31,BM34:BU34,0))</f>
        <v>#N/A</v>
      </c>
      <c r="BM48" s="101">
        <f>BP155</f>
        <v>14.65</v>
      </c>
      <c r="BN48" s="101">
        <f>BP154</f>
        <v>14.65</v>
      </c>
      <c r="BO48" s="101">
        <f>BP149</f>
        <v>15.7</v>
      </c>
      <c r="BP48" s="101">
        <f>BP160</f>
        <v>14.55</v>
      </c>
      <c r="BS48" s="101">
        <f>BP151</f>
        <v>14.350000000000001</v>
      </c>
      <c r="BU48" s="101">
        <f>BP152</f>
        <v>15.85</v>
      </c>
      <c r="CO48" s="71" t="str">
        <f>IF($BQ$14=FALSE,"",
IF($BP$14=0,"",
IF(ISBLANK(#REF!),"",
"• If you have a verifiable annual average price for the standard 18.14 kg carton box, different from the one used as a reference in the Minimum Price calculation, enter it here, excluding value added tax:")))</f>
        <v/>
      </c>
      <c r="CP48" s="71" t="str">
        <f>IF($BQ$14=FALSE,"",
IF($BP$14=0,"",
IF(ISBLANK(#REF!),"",
"• Si vous disposez d'un prix moyen annuel vérifiable pour la boîte en carton standard de 18,14 kg, différent de celui utilisé comme référence dans le calcul du prix minimum, indiquez-le ici, hors taxe sur la valeur ajoutée:")))</f>
        <v/>
      </c>
      <c r="CQ48" s="71" t="str">
        <f>IF($BQ$14=FALSE,"",
IF($BP$14=0,"",
IF(ISBLANK(#REF!),"",
"• Se dispuser de um preço médio anual verificável para a caixa normalizada de cartão de 18,14 kg, diferente do utilizado como referência no cálculo do preço mínimo, insira-o aqui, excluindo o imposto sobre o valor acrescentado:")))</f>
        <v/>
      </c>
      <c r="CR48" s="71" t="str">
        <f>IF($BQ$14=FALSE,"",
IF($BP$14=0,"",
IF(ISBLANK(#REF!),"",
"• Si tiene un precio promedio anual para la caja de cartón estándar de 18.14 kg, diferente al utilizado como referencia en el calculao del Precio Mínimo, que sea verificable, ingréselo aquí, sin incluir el impuesto al valor agregado:")))</f>
        <v/>
      </c>
    </row>
    <row r="49" spans="2:101" ht="19.2" customHeight="1" x14ac:dyDescent="0.3">
      <c r="AQ49" s="72">
        <v>9</v>
      </c>
      <c r="AR49" s="72" t="str">
        <f t="shared" si="30"/>
        <v>EnglishCamerún</v>
      </c>
      <c r="AS49" s="72" t="str">
        <f>AS40</f>
        <v>Cameroon</v>
      </c>
      <c r="AT49" s="72"/>
      <c r="AU49" s="72"/>
      <c r="AY49" s="72" t="str">
        <f t="shared" si="16"/>
        <v>PortuguêsCamarões</v>
      </c>
      <c r="AZ49" s="95" t="str">
        <f>BF19</f>
        <v>Camarões</v>
      </c>
      <c r="BA49" s="94" t="str">
        <f>BA48</f>
        <v>Português</v>
      </c>
      <c r="BM49" s="101">
        <f t="shared" ref="BM49:BM52" si="39">BP156</f>
        <v>15</v>
      </c>
      <c r="BO49" s="101">
        <f>BP150</f>
        <v>15.7</v>
      </c>
      <c r="CO49" s="71" t="str">
        <f>IF($BQ$14=FALSE,"",
IF($BP$14=0,"",
"• Fairtrade Minimum Price FOB 2024 excluding the reference price for the standard 18.14kg carton:"))</f>
        <v/>
      </c>
      <c r="CP49" s="71" t="str">
        <f>IF($BQ$14=FALSE,"",
IF($BP$14=0,"",
"• Prix minimum du commerce équitable FOB 2024 excluant le prix de référence du carton standard de 18.14kg:"))</f>
        <v/>
      </c>
      <c r="CQ49" s="71" t="str">
        <f>IF($BQ$14=FALSE,"",
IF($BP$14=0,"",
"• Preço Mínimo do Comércio Justo FOB 2024 excluindo o preço de referência para a caixa de cartão padrão de 18.14kg:"))</f>
        <v/>
      </c>
      <c r="CR49" s="71" t="str">
        <f>IF($BQ$14=FALSE,"",
IF($BP$14=0,"",
"• Precio Mínimo Fairtrade FOB 2024 sin incluir el precio de referencia para la caja de cartón estándar de 18.14kg:"))</f>
        <v/>
      </c>
    </row>
    <row r="50" spans="2:101" ht="19.2" customHeight="1" x14ac:dyDescent="0.3">
      <c r="AQ50" s="72">
        <v>1</v>
      </c>
      <c r="AR50" s="74" t="str">
        <f t="shared" ref="AR50:AR58" si="40">BA32&amp;AZ23</f>
        <v>FrançaisPanama</v>
      </c>
      <c r="AS50" s="72" t="str">
        <f t="shared" ref="AS50:AS58" si="41">AZ32</f>
        <v>Panama</v>
      </c>
      <c r="AT50" s="74" t="s">
        <v>96</v>
      </c>
      <c r="AU50" s="72" t="s">
        <v>97</v>
      </c>
      <c r="AY50" s="72" t="str">
        <f t="shared" si="16"/>
        <v>EspañolPanamá</v>
      </c>
      <c r="AZ50" s="95" t="str">
        <f t="shared" ref="AZ50:AZ58" si="42">BG11</f>
        <v>Panamá</v>
      </c>
      <c r="BA50" s="94" t="str">
        <f>BG4</f>
        <v>Español</v>
      </c>
      <c r="BM50" s="101">
        <f t="shared" si="39"/>
        <v>14.75</v>
      </c>
      <c r="BY50" s="103"/>
      <c r="BZ50" s="103"/>
      <c r="CA50" s="103"/>
      <c r="CB50" s="103"/>
      <c r="CE50" s="71"/>
      <c r="CF50" s="71"/>
      <c r="CG50" s="71"/>
      <c r="CH50" s="71"/>
      <c r="CJ50" s="71"/>
      <c r="CK50" s="71"/>
      <c r="CO50" s="71" t="str">
        <f>IF($BQ$14=FALSE,"",
IF($BP$14=0,"",
"• Fairtrade Minimum Price FOB 2024 considering the price of the standard 18.14 kg carton box just entered:"))</f>
        <v/>
      </c>
      <c r="CP50" s="71" t="str">
        <f>IF($BQ$14=FALSE,"",
IF($BP$14=0,"",
"• Prix minimum du commerce équitable FOB 2024 compte tenu du prix de la boîte en carton standard de 18.14kg qui vient d'être saisi:"))</f>
        <v/>
      </c>
      <c r="CQ50" s="71" t="str">
        <f>IF($BQ$14=FALSE,"",
IF($BP$14=0,"",
"• Preço Mínimo de Comércio Justo FOB 2024 considerando o preço da caixa de cartão padrão de 18.14kg que acabou de ser introduzido:"))</f>
        <v/>
      </c>
      <c r="CR50" s="71" t="str">
        <f>IF($BQ$14=FALSE,"",
IF($BP$14=0,"",
"• Precio Mínimo Fairtrade FOB 2024 considerando el precio de caja de cartón estandar de 18.14kg recién ingresado:"))</f>
        <v/>
      </c>
    </row>
    <row r="51" spans="2:101" ht="19.2" customHeight="1" x14ac:dyDescent="0.3">
      <c r="AQ51" s="72">
        <v>2</v>
      </c>
      <c r="AR51" s="72" t="str">
        <f t="shared" si="40"/>
        <v>FrançaisPeru</v>
      </c>
      <c r="AS51" s="72" t="str">
        <f t="shared" si="41"/>
        <v>Pérou</v>
      </c>
      <c r="AT51" s="72"/>
      <c r="AU51" s="72"/>
      <c r="AY51" s="72" t="str">
        <f t="shared" si="16"/>
        <v>EspañolPerú</v>
      </c>
      <c r="AZ51" s="95" t="str">
        <f t="shared" si="42"/>
        <v>Perú</v>
      </c>
      <c r="BA51" s="94" t="str">
        <f>BG4</f>
        <v>Español</v>
      </c>
      <c r="BM51" s="101">
        <f t="shared" si="39"/>
        <v>14.75</v>
      </c>
      <c r="CB51" s="71"/>
      <c r="CC51" s="71"/>
      <c r="CD51" s="71"/>
      <c r="CE51" s="71"/>
      <c r="CF51" s="71"/>
      <c r="CG51" s="71"/>
      <c r="CH51" s="71"/>
      <c r="CI51" s="71"/>
      <c r="CJ51" s="71"/>
      <c r="CK51" s="71"/>
      <c r="CL51" s="71"/>
      <c r="CM51" s="71"/>
      <c r="CO51" s="71" t="str">
        <f t="shared" ref="CO51:CO59" si="43">BL5</f>
        <v/>
      </c>
      <c r="CP51" s="71" t="str">
        <f t="shared" ref="CP51:CP59" si="44">BN5</f>
        <v>Moin (Costa Rica)</v>
      </c>
      <c r="CQ51" s="71">
        <f>CB5</f>
        <v>0</v>
      </c>
    </row>
    <row r="52" spans="2:101" x14ac:dyDescent="0.3">
      <c r="AQ52" s="72">
        <v>3</v>
      </c>
      <c r="AR52" s="72" t="str">
        <f t="shared" si="40"/>
        <v>FrançaisColombia</v>
      </c>
      <c r="AS52" s="72" t="str">
        <f t="shared" si="41"/>
        <v>Colombie</v>
      </c>
      <c r="AT52" s="72"/>
      <c r="AU52" s="72"/>
      <c r="AY52" s="72" t="str">
        <f t="shared" si="16"/>
        <v>EspañolColombia</v>
      </c>
      <c r="AZ52" s="95" t="str">
        <f t="shared" si="42"/>
        <v>Colombia</v>
      </c>
      <c r="BA52" s="94" t="str">
        <f>BG4</f>
        <v>Español</v>
      </c>
      <c r="BM52" s="101">
        <f t="shared" si="39"/>
        <v>14.950000000000001</v>
      </c>
      <c r="CB52" s="71"/>
      <c r="CC52" s="71"/>
      <c r="CD52" s="71"/>
      <c r="CE52" s="71"/>
      <c r="CF52" s="71"/>
      <c r="CG52" s="71"/>
      <c r="CH52" s="71"/>
      <c r="CI52" s="71"/>
      <c r="CJ52" s="71"/>
      <c r="CK52" s="71"/>
      <c r="CL52" s="71"/>
      <c r="CM52" s="71"/>
      <c r="CO52" s="71" t="str">
        <f t="shared" si="43"/>
        <v/>
      </c>
      <c r="CP52" s="71" t="str">
        <f t="shared" si="44"/>
        <v>Paita</v>
      </c>
    </row>
    <row r="53" spans="2:101" x14ac:dyDescent="0.3">
      <c r="AQ53" s="72">
        <v>4</v>
      </c>
      <c r="AR53" s="72" t="str">
        <f t="shared" si="40"/>
        <v>FrançaisEcuador</v>
      </c>
      <c r="AS53" s="72" t="str">
        <f t="shared" si="41"/>
        <v>Équateur</v>
      </c>
      <c r="AT53" s="72"/>
      <c r="AU53" s="72"/>
      <c r="AY53" s="72" t="str">
        <f t="shared" si="16"/>
        <v>EspañolEcuador</v>
      </c>
      <c r="AZ53" s="95" t="str">
        <f t="shared" si="42"/>
        <v>Ecuador</v>
      </c>
      <c r="BA53" s="94" t="str">
        <f>BG4</f>
        <v>Español</v>
      </c>
      <c r="CB53" s="71"/>
      <c r="CC53" s="71"/>
      <c r="CD53" s="71"/>
      <c r="CE53" s="71"/>
      <c r="CF53" s="71"/>
      <c r="CG53" s="71"/>
      <c r="CH53" s="71"/>
      <c r="CI53" s="71"/>
      <c r="CJ53" s="71"/>
      <c r="CK53" s="71"/>
      <c r="CL53" s="71"/>
      <c r="CM53" s="71"/>
      <c r="CO53" s="71" t="str">
        <f t="shared" si="43"/>
        <v/>
      </c>
      <c r="CP53" s="71" t="str">
        <f t="shared" si="44"/>
        <v>Turbo/Santa Marta</v>
      </c>
    </row>
    <row r="54" spans="2:101" x14ac:dyDescent="0.3">
      <c r="AQ54" s="72">
        <v>5</v>
      </c>
      <c r="AR54" s="72" t="str">
        <f t="shared" si="40"/>
        <v>FrançaisIvory Coast</v>
      </c>
      <c r="AS54" s="72" t="str">
        <f t="shared" si="41"/>
        <v>Côte d'Ivoire</v>
      </c>
      <c r="AT54" s="72"/>
      <c r="AU54" s="72"/>
      <c r="AY54" s="72" t="str">
        <f t="shared" si="16"/>
        <v>EspañolCosta de Marfil</v>
      </c>
      <c r="AZ54" s="95" t="str">
        <f t="shared" si="42"/>
        <v>Costa de Marfil</v>
      </c>
      <c r="BA54" s="94" t="str">
        <f>BG4</f>
        <v>Español</v>
      </c>
      <c r="BM54" s="72" t="str">
        <f>BM34&amp;"_FOB_con"</f>
        <v>EC_FOB_con</v>
      </c>
      <c r="BN54" s="72" t="str">
        <f t="shared" ref="BN54:BU54" si="45">BN34&amp;"_FOB_con"</f>
        <v>CO_FOB_con</v>
      </c>
      <c r="BO54" s="72" t="str">
        <f t="shared" si="45"/>
        <v>DO_FOB_con</v>
      </c>
      <c r="BP54" s="72" t="str">
        <f t="shared" si="45"/>
        <v>PE_FOB_con</v>
      </c>
      <c r="BQ54" s="72" t="str">
        <f t="shared" si="45"/>
        <v>NI_FOB_con</v>
      </c>
      <c r="BR54" s="72" t="str">
        <f t="shared" si="45"/>
        <v>PA_FOB_con</v>
      </c>
      <c r="BS54" s="72" t="str">
        <f t="shared" si="45"/>
        <v>GH_FOB_con</v>
      </c>
      <c r="BT54" s="72" t="str">
        <f t="shared" si="45"/>
        <v>CM_FOB_con</v>
      </c>
      <c r="BU54" s="72" t="str">
        <f t="shared" si="45"/>
        <v>CI_FOB_con</v>
      </c>
      <c r="CB54" s="71"/>
      <c r="CC54" s="71"/>
      <c r="CD54" s="71"/>
      <c r="CE54" s="71"/>
      <c r="CF54" s="71"/>
      <c r="CG54" s="71"/>
      <c r="CH54" s="71"/>
      <c r="CI54" s="71"/>
      <c r="CJ54" s="71"/>
      <c r="CK54" s="71"/>
      <c r="CL54" s="71"/>
      <c r="CM54" s="71"/>
      <c r="CO54" s="71" t="str">
        <f t="shared" si="43"/>
        <v/>
      </c>
      <c r="CP54" s="71" t="str">
        <f t="shared" si="44"/>
        <v>Bolivar</v>
      </c>
      <c r="CQ54" s="71" t="str">
        <f>CB8</f>
        <v>Guayaquil (llegando a puerto desde Machala)</v>
      </c>
    </row>
    <row r="55" spans="2:101" x14ac:dyDescent="0.3">
      <c r="AQ55" s="72">
        <v>6</v>
      </c>
      <c r="AR55" s="72" t="str">
        <f t="shared" si="40"/>
        <v>FrançaisGhana</v>
      </c>
      <c r="AS55" s="72" t="str">
        <f t="shared" si="41"/>
        <v>Ghana</v>
      </c>
      <c r="AT55" s="72"/>
      <c r="AU55" s="72"/>
      <c r="AY55" s="72" t="str">
        <f t="shared" si="16"/>
        <v>EspañolGana</v>
      </c>
      <c r="AZ55" s="95" t="str">
        <f t="shared" si="42"/>
        <v>Gana</v>
      </c>
      <c r="BA55" s="94" t="str">
        <f>BG4</f>
        <v>Español</v>
      </c>
      <c r="BL55" s="72" t="e" cm="1">
        <f t="array" ref="BL55">INDEX(BM35:BU39,,MATCH(BM31,BM34:BU34,0))</f>
        <v>#N/A</v>
      </c>
      <c r="BM55" s="101">
        <f>BP172</f>
        <v>11.85</v>
      </c>
      <c r="BN55" s="101">
        <f>BP170</f>
        <v>12.25</v>
      </c>
      <c r="BO55" s="101">
        <f>BP165</f>
        <v>13.100000000000001</v>
      </c>
      <c r="BQ55" s="101">
        <f>BP177</f>
        <v>11.05</v>
      </c>
      <c r="BR55" s="101">
        <f>BP179</f>
        <v>11.85</v>
      </c>
      <c r="BS55" s="101">
        <f>BP167</f>
        <v>11.5</v>
      </c>
      <c r="BT55" s="101">
        <f>BP163</f>
        <v>11.100000000000001</v>
      </c>
      <c r="BU55" s="101">
        <f>BP168</f>
        <v>13.65</v>
      </c>
      <c r="CB55" s="71"/>
      <c r="CC55" s="71"/>
      <c r="CD55" s="71"/>
      <c r="CE55" s="71"/>
      <c r="CF55" s="71"/>
      <c r="CG55" s="71"/>
      <c r="CH55" s="71"/>
      <c r="CI55" s="71"/>
      <c r="CJ55" s="71"/>
      <c r="CK55" s="71"/>
      <c r="CL55" s="71"/>
      <c r="CM55" s="71"/>
      <c r="CO55" s="71" t="str">
        <f t="shared" si="43"/>
        <v/>
      </c>
      <c r="CP55" s="71" t="str">
        <f t="shared" si="44"/>
        <v>Abidjan</v>
      </c>
      <c r="CQ55" s="71" t="str">
        <f>CB9</f>
        <v>Guayaquil/Posorja (llegando a puerto desde Santa Elena)</v>
      </c>
    </row>
    <row r="56" spans="2:101" x14ac:dyDescent="0.3">
      <c r="AQ56" s="72">
        <v>7</v>
      </c>
      <c r="AR56" s="72" t="str">
        <f t="shared" si="40"/>
        <v>FrançaisDominican Republic</v>
      </c>
      <c r="AS56" s="72" t="str">
        <f t="shared" si="41"/>
        <v>République dominicaine</v>
      </c>
      <c r="AT56" s="72"/>
      <c r="AU56" s="72"/>
      <c r="AY56" s="72" t="str">
        <f t="shared" si="16"/>
        <v>EspañolRepública Dominicana</v>
      </c>
      <c r="AZ56" s="95" t="str">
        <f t="shared" si="42"/>
        <v>República Dominicana</v>
      </c>
      <c r="BA56" s="94" t="str">
        <f>BG4</f>
        <v>Español</v>
      </c>
      <c r="BM56" s="101">
        <f>BP173</f>
        <v>12.2</v>
      </c>
      <c r="BO56" s="101">
        <f>BP166</f>
        <v>13.100000000000001</v>
      </c>
      <c r="BQ56" s="101">
        <f>BP178</f>
        <v>12.2</v>
      </c>
      <c r="CB56" s="71"/>
      <c r="CC56" s="71"/>
      <c r="CD56" s="71"/>
      <c r="CE56" s="71"/>
      <c r="CF56" s="71"/>
      <c r="CG56" s="71"/>
      <c r="CH56" s="71"/>
      <c r="CI56" s="71"/>
      <c r="CJ56" s="71"/>
      <c r="CK56" s="71"/>
      <c r="CL56" s="71"/>
      <c r="CM56" s="71"/>
      <c r="CO56" s="71" t="str">
        <f t="shared" si="43"/>
        <v/>
      </c>
      <c r="CP56" s="71" t="str">
        <f t="shared" si="44"/>
        <v>Tema</v>
      </c>
    </row>
    <row r="57" spans="2:101" x14ac:dyDescent="0.3">
      <c r="B57" s="4" t="str">
        <f>CS12</f>
        <v xml:space="preserve"> </v>
      </c>
      <c r="AQ57" s="72">
        <v>8</v>
      </c>
      <c r="AR57" s="72" t="str">
        <f t="shared" si="40"/>
        <v>FrançaisNicaragua</v>
      </c>
      <c r="AS57" s="72" t="str">
        <f t="shared" si="41"/>
        <v>Nicaragua</v>
      </c>
      <c r="AT57" s="72"/>
      <c r="AU57" s="72"/>
      <c r="AY57" s="72" t="str">
        <f t="shared" si="16"/>
        <v>EspañolNicaragua</v>
      </c>
      <c r="AZ57" s="95" t="str">
        <f t="shared" si="42"/>
        <v>Nicaragua</v>
      </c>
      <c r="BA57" s="94" t="str">
        <f>BG4</f>
        <v>Español</v>
      </c>
      <c r="BM57" s="101">
        <f>BP174</f>
        <v>11.95</v>
      </c>
      <c r="CB57" s="71"/>
      <c r="CC57" s="71"/>
      <c r="CD57" s="71"/>
      <c r="CE57" s="71"/>
      <c r="CF57" s="71"/>
      <c r="CG57" s="71"/>
      <c r="CH57" s="71"/>
      <c r="CI57" s="71"/>
      <c r="CJ57" s="71"/>
      <c r="CK57" s="71"/>
      <c r="CL57" s="71"/>
      <c r="CM57" s="71"/>
      <c r="CO57" s="71" t="str">
        <f t="shared" si="43"/>
        <v/>
      </c>
      <c r="CP57" s="71" t="str">
        <f t="shared" si="44"/>
        <v>Manzanillo</v>
      </c>
      <c r="CQ57" s="71" t="str">
        <f>CB11</f>
        <v>Caucedo</v>
      </c>
    </row>
    <row r="58" spans="2:101" x14ac:dyDescent="0.3">
      <c r="AQ58" s="72">
        <v>9</v>
      </c>
      <c r="AR58" s="72" t="str">
        <f t="shared" si="40"/>
        <v>FrançaisCameroon</v>
      </c>
      <c r="AS58" s="72" t="str">
        <f t="shared" si="41"/>
        <v>Cameroun</v>
      </c>
      <c r="AT58" s="72"/>
      <c r="AU58" s="72"/>
      <c r="AY58" s="72" t="str">
        <f t="shared" si="16"/>
        <v>EspañolCamerún</v>
      </c>
      <c r="AZ58" s="95" t="str">
        <f t="shared" si="42"/>
        <v>Camerún</v>
      </c>
      <c r="BA58" s="94" t="str">
        <f>BA57</f>
        <v>Español</v>
      </c>
      <c r="BM58" s="101">
        <f>BP175</f>
        <v>11.95</v>
      </c>
      <c r="CB58" s="71"/>
      <c r="CC58" s="71"/>
      <c r="CD58" s="71"/>
      <c r="CE58" s="71"/>
      <c r="CF58" s="71"/>
      <c r="CG58" s="71"/>
      <c r="CH58" s="71"/>
      <c r="CI58" s="71"/>
      <c r="CJ58" s="71"/>
      <c r="CK58" s="71"/>
      <c r="CL58" s="71"/>
      <c r="CM58" s="71"/>
      <c r="CO58" s="71" t="str">
        <f t="shared" si="43"/>
        <v/>
      </c>
      <c r="CP58" s="71" t="str">
        <f t="shared" si="44"/>
        <v>Corinto</v>
      </c>
      <c r="CQ58" s="71" t="str">
        <f>CB12</f>
        <v>Moin (CR)/Cortez (HN)</v>
      </c>
    </row>
    <row r="59" spans="2:101" x14ac:dyDescent="0.3">
      <c r="AQ59" s="72">
        <v>1</v>
      </c>
      <c r="AR59" s="74" t="str">
        <f t="shared" ref="AR59:AR67" si="46">BA32&amp;AZ41</f>
        <v>FrançaisPanamá</v>
      </c>
      <c r="AS59" s="72" t="str">
        <f t="shared" ref="AS59:AS76" si="47">AS50</f>
        <v>Panama</v>
      </c>
      <c r="AT59" s="74" t="s">
        <v>98</v>
      </c>
      <c r="AU59" s="72" t="s">
        <v>97</v>
      </c>
      <c r="BM59" s="101">
        <f>BP176</f>
        <v>12.15</v>
      </c>
      <c r="CB59" s="71"/>
      <c r="CC59" s="71"/>
      <c r="CD59" s="71"/>
      <c r="CE59" s="71"/>
      <c r="CF59" s="71"/>
      <c r="CG59" s="71"/>
      <c r="CH59" s="71"/>
      <c r="CI59" s="71"/>
      <c r="CJ59" s="71"/>
      <c r="CK59" s="71"/>
      <c r="CL59" s="71"/>
      <c r="CM59" s="71"/>
      <c r="CO59" s="71" t="str">
        <f t="shared" si="43"/>
        <v/>
      </c>
      <c r="CP59" s="71" t="str">
        <f t="shared" si="44"/>
        <v>Douala</v>
      </c>
    </row>
    <row r="60" spans="2:101" x14ac:dyDescent="0.3">
      <c r="AQ60" s="72">
        <v>2</v>
      </c>
      <c r="AR60" s="72" t="str">
        <f t="shared" si="46"/>
        <v>FrançaisPeru</v>
      </c>
      <c r="AS60" s="72" t="str">
        <f t="shared" si="47"/>
        <v>Pérou</v>
      </c>
      <c r="AT60" s="72"/>
      <c r="AU60" s="72"/>
    </row>
    <row r="61" spans="2:101" x14ac:dyDescent="0.3">
      <c r="AQ61" s="72">
        <v>3</v>
      </c>
      <c r="AR61" s="72" t="str">
        <f t="shared" si="46"/>
        <v>FrançaisColômbia</v>
      </c>
      <c r="AS61" s="72" t="str">
        <f t="shared" si="47"/>
        <v>Colombie</v>
      </c>
      <c r="AT61" s="72"/>
      <c r="AU61" s="72"/>
      <c r="BM61" s="81" t="str">
        <f>BM34&amp;"_box"</f>
        <v>EC_box</v>
      </c>
      <c r="BN61" s="81" t="str">
        <f t="shared" ref="BN61:BU61" si="48">BN34&amp;"_box"</f>
        <v>CO_box</v>
      </c>
      <c r="BO61" s="81" t="str">
        <f t="shared" si="48"/>
        <v>DO_box</v>
      </c>
      <c r="BP61" s="81" t="str">
        <f t="shared" si="48"/>
        <v>PE_box</v>
      </c>
      <c r="BQ61" s="81" t="str">
        <f t="shared" si="48"/>
        <v>NI_box</v>
      </c>
      <c r="BR61" s="81" t="str">
        <f t="shared" si="48"/>
        <v>PA_box</v>
      </c>
      <c r="BS61" s="81" t="str">
        <f t="shared" si="48"/>
        <v>GH_box</v>
      </c>
      <c r="BT61" s="81" t="str">
        <f t="shared" si="48"/>
        <v>CM_box</v>
      </c>
      <c r="BU61" s="81" t="str">
        <f t="shared" si="48"/>
        <v>CI_box</v>
      </c>
      <c r="CB61" s="71"/>
    </row>
    <row r="62" spans="2:101" x14ac:dyDescent="0.3">
      <c r="AQ62" s="72">
        <v>4</v>
      </c>
      <c r="AR62" s="72" t="str">
        <f t="shared" si="46"/>
        <v>FrançaisEquador</v>
      </c>
      <c r="AS62" s="72" t="str">
        <f t="shared" si="47"/>
        <v>Équateur</v>
      </c>
      <c r="AT62" s="72"/>
      <c r="AU62" s="72"/>
      <c r="BM62" s="72">
        <f>VLOOKUP(BM61,$BL$187:$BO$195,4,FALSE)</f>
        <v>1.42</v>
      </c>
      <c r="BN62" s="72">
        <f t="shared" ref="BN62:BU62" si="49">VLOOKUP(BN61,$BL$187:$BO$195,4,FALSE)</f>
        <v>1.55</v>
      </c>
      <c r="BO62" s="72">
        <f t="shared" si="49"/>
        <v>2.0499999999999998</v>
      </c>
      <c r="BP62" s="72">
        <f t="shared" si="49"/>
        <v>1.75</v>
      </c>
      <c r="BQ62" s="72">
        <f t="shared" si="49"/>
        <v>1.39</v>
      </c>
      <c r="BR62" s="72">
        <f t="shared" si="49"/>
        <v>1.7</v>
      </c>
      <c r="BS62" s="72">
        <f t="shared" si="49"/>
        <v>1.24</v>
      </c>
      <c r="BT62" s="72">
        <f t="shared" si="49"/>
        <v>1.4</v>
      </c>
      <c r="BU62" s="72">
        <f t="shared" si="49"/>
        <v>1.68</v>
      </c>
      <c r="CE62" s="71"/>
      <c r="CH62" s="71"/>
      <c r="CI62" s="71"/>
      <c r="CJ62" s="71"/>
      <c r="CO62" s="87" t="str">
        <f>CO51</f>
        <v/>
      </c>
      <c r="CP62" s="87" t="str">
        <f>CO52</f>
        <v/>
      </c>
      <c r="CQ62" s="87" t="str">
        <f>CO53</f>
        <v/>
      </c>
      <c r="CR62" s="87" t="str">
        <f>CO54</f>
        <v/>
      </c>
      <c r="CS62" s="87" t="str">
        <f>CO55</f>
        <v/>
      </c>
      <c r="CT62" s="87" t="str">
        <f>CO56</f>
        <v/>
      </c>
      <c r="CU62" s="87" t="str">
        <f>CO57</f>
        <v/>
      </c>
      <c r="CV62" s="87" t="str">
        <f>CO58</f>
        <v/>
      </c>
      <c r="CW62" s="87" t="str">
        <f>CO59</f>
        <v/>
      </c>
    </row>
    <row r="63" spans="2:101" x14ac:dyDescent="0.3">
      <c r="AQ63" s="72">
        <v>5</v>
      </c>
      <c r="AR63" s="72" t="str">
        <f t="shared" si="46"/>
        <v>FrançaisCosta do Marfim</v>
      </c>
      <c r="AS63" s="72" t="str">
        <f t="shared" si="47"/>
        <v>Côte d'Ivoire</v>
      </c>
      <c r="AT63" s="72"/>
      <c r="AU63" s="72"/>
      <c r="CE63" s="71"/>
      <c r="CH63" s="71"/>
      <c r="CI63" s="71"/>
      <c r="CJ63" s="71"/>
      <c r="CN63" s="72" t="s">
        <v>145</v>
      </c>
      <c r="CO63" s="71" t="str">
        <f>CP51</f>
        <v>Moin (Costa Rica)</v>
      </c>
      <c r="CP63" s="71" t="str">
        <f>CP52</f>
        <v>Paita</v>
      </c>
      <c r="CQ63" s="71" t="str">
        <f>BN7</f>
        <v>Turbo/Santa Marta</v>
      </c>
      <c r="CR63" s="71" t="str">
        <f>CP54</f>
        <v>Bolivar</v>
      </c>
      <c r="CS63" s="71" t="str">
        <f>CP55</f>
        <v>Abidjan</v>
      </c>
      <c r="CT63" s="71" t="str">
        <f>CP56</f>
        <v>Tema</v>
      </c>
      <c r="CU63" s="71" t="str">
        <f>CP57</f>
        <v>Manzanillo</v>
      </c>
      <c r="CV63" s="71" t="str">
        <f>CP58</f>
        <v>Corinto</v>
      </c>
      <c r="CW63" s="71" t="str">
        <f>CP59</f>
        <v>Douala</v>
      </c>
    </row>
    <row r="64" spans="2:101" x14ac:dyDescent="0.3">
      <c r="AQ64" s="72">
        <v>6</v>
      </c>
      <c r="AR64" s="72" t="str">
        <f t="shared" si="46"/>
        <v>FrançaisGana</v>
      </c>
      <c r="AS64" s="72" t="str">
        <f t="shared" si="47"/>
        <v>Ghana</v>
      </c>
      <c r="AT64" s="72"/>
      <c r="AU64" s="72"/>
      <c r="BM64" s="72" t="s">
        <v>278</v>
      </c>
      <c r="BN64" s="72" t="s">
        <v>279</v>
      </c>
      <c r="BO64" s="72" t="s">
        <v>280</v>
      </c>
      <c r="CE64" s="71"/>
      <c r="CH64" s="71"/>
      <c r="CI64" s="71"/>
      <c r="CJ64" s="71"/>
      <c r="CN64" s="72" t="s">
        <v>146</v>
      </c>
      <c r="CO64" s="71">
        <f>CQ51</f>
        <v>0</v>
      </c>
      <c r="CR64" s="71" t="str">
        <f>CQ54</f>
        <v>Guayaquil (llegando a puerto desde Machala)</v>
      </c>
      <c r="CU64" s="71" t="str">
        <f>CQ57</f>
        <v>Caucedo</v>
      </c>
      <c r="CV64" s="71" t="str">
        <f>CQ58</f>
        <v>Moin (CR)/Cortez (HN)</v>
      </c>
      <c r="CW64" s="71">
        <f>CB13</f>
        <v>0</v>
      </c>
    </row>
    <row r="65" spans="43:97" x14ac:dyDescent="0.3">
      <c r="AQ65" s="72">
        <v>7</v>
      </c>
      <c r="AR65" s="72" t="str">
        <f t="shared" si="46"/>
        <v>FrançaisRepública Dominicana</v>
      </c>
      <c r="AS65" s="72" t="str">
        <f t="shared" si="47"/>
        <v>République dominicaine</v>
      </c>
      <c r="AT65" s="72"/>
      <c r="AU65" s="72"/>
      <c r="BM65" s="71" t="e">
        <f>MATCH(C8,BI5:BI13,0)</f>
        <v>#N/A</v>
      </c>
      <c r="BN65" s="71" t="e">
        <f>MATCH(D2,BD4:BG4,0)</f>
        <v>#N/A</v>
      </c>
      <c r="BO65" s="71" t="e" cm="1">
        <f t="array" ref="BO65">INDEX(BD11:BG19,BM65,BN65)</f>
        <v>#N/A</v>
      </c>
      <c r="CE65" s="71"/>
      <c r="CH65" s="71"/>
      <c r="CI65" s="71"/>
      <c r="CJ65" s="71"/>
      <c r="CR65" s="71" t="str">
        <f>CQ55</f>
        <v>Guayaquil/Posorja (llegando a puerto desde Santa Elena)</v>
      </c>
    </row>
    <row r="66" spans="43:97" x14ac:dyDescent="0.3">
      <c r="AQ66" s="72">
        <v>8</v>
      </c>
      <c r="AR66" s="72" t="str">
        <f t="shared" si="46"/>
        <v>FrançaisNicarágua</v>
      </c>
      <c r="AS66" s="72" t="str">
        <f t="shared" si="47"/>
        <v>Nicaragua</v>
      </c>
      <c r="AT66" s="72"/>
      <c r="AU66" s="72"/>
      <c r="BM66" s="72" t="e">
        <f>MATCH(C9,BH21:BH22,0)</f>
        <v>#N/A</v>
      </c>
      <c r="BN66" s="72" t="e">
        <f>MATCH(D2,BD4:BG4,0)</f>
        <v>#N/A</v>
      </c>
      <c r="BO66" s="72" t="e" cm="1">
        <f t="array" ref="BO66">INDEX(BD21:BG22,BM66,BN66)</f>
        <v>#N/A</v>
      </c>
      <c r="CE66" s="71"/>
      <c r="CH66" s="71"/>
      <c r="CI66" s="71"/>
      <c r="CJ66" s="71"/>
    </row>
    <row r="67" spans="43:97" x14ac:dyDescent="0.3">
      <c r="AQ67" s="72">
        <v>9</v>
      </c>
      <c r="AR67" s="72" t="str">
        <f t="shared" si="46"/>
        <v>FrançaisCamarões</v>
      </c>
      <c r="AS67" s="72" t="str">
        <f t="shared" si="47"/>
        <v>Cameroun</v>
      </c>
      <c r="AT67" s="72"/>
      <c r="AU67" s="72"/>
      <c r="CE67" s="71"/>
      <c r="CH67" s="71"/>
      <c r="CI67" s="71"/>
      <c r="CJ67" s="71"/>
      <c r="CS67" s="87" t="e">
        <f>IF(#REF!=FALSE,"",
IF($D$2=$CJ$4,CO67,
IF($D$2=$CJ$5,CP67,
IF($D$2=$CJ$6,CQ67,
CR67))))</f>
        <v>#REF!</v>
      </c>
    </row>
    <row r="68" spans="43:97" x14ac:dyDescent="0.3">
      <c r="AQ68" s="72">
        <v>1</v>
      </c>
      <c r="AR68" s="74" t="str">
        <f t="shared" ref="AR68:AR76" si="50">BA32&amp;AZ50</f>
        <v>FrançaisPanamá</v>
      </c>
      <c r="AS68" s="72" t="str">
        <f t="shared" si="47"/>
        <v>Panama</v>
      </c>
      <c r="AT68" s="74" t="s">
        <v>99</v>
      </c>
      <c r="AU68" s="72" t="s">
        <v>97</v>
      </c>
      <c r="CE68" s="71"/>
      <c r="CH68" s="71"/>
      <c r="CI68" s="71"/>
      <c r="CJ68" s="71"/>
    </row>
    <row r="69" spans="43:97" x14ac:dyDescent="0.3">
      <c r="AQ69" s="72">
        <v>2</v>
      </c>
      <c r="AR69" s="72" t="str">
        <f t="shared" si="50"/>
        <v>FrançaisPerú</v>
      </c>
      <c r="AS69" s="72" t="str">
        <f t="shared" si="47"/>
        <v>Pérou</v>
      </c>
      <c r="AT69" s="72"/>
      <c r="AU69" s="72"/>
      <c r="CE69" s="71"/>
      <c r="CH69" s="71"/>
      <c r="CI69" s="71"/>
      <c r="CJ69" s="71"/>
    </row>
    <row r="70" spans="43:97" x14ac:dyDescent="0.3">
      <c r="AQ70" s="72">
        <v>3</v>
      </c>
      <c r="AR70" s="72" t="str">
        <f t="shared" si="50"/>
        <v>FrançaisColombia</v>
      </c>
      <c r="AS70" s="72" t="str">
        <f t="shared" si="47"/>
        <v>Colombie</v>
      </c>
      <c r="AT70" s="72"/>
      <c r="AU70" s="72"/>
      <c r="CE70" s="71"/>
      <c r="CH70" s="71"/>
      <c r="CI70" s="71"/>
      <c r="CJ70" s="71"/>
      <c r="CR70" s="87"/>
    </row>
    <row r="71" spans="43:97" x14ac:dyDescent="0.3">
      <c r="AQ71" s="72">
        <v>4</v>
      </c>
      <c r="AR71" s="72" t="str">
        <f t="shared" si="50"/>
        <v>FrançaisEcuador</v>
      </c>
      <c r="AS71" s="72" t="str">
        <f t="shared" si="47"/>
        <v>Équateur</v>
      </c>
      <c r="AT71" s="72"/>
      <c r="AU71" s="72"/>
      <c r="CR71" s="87"/>
    </row>
    <row r="72" spans="43:97" x14ac:dyDescent="0.3">
      <c r="AQ72" s="72">
        <v>5</v>
      </c>
      <c r="AR72" s="72" t="str">
        <f t="shared" si="50"/>
        <v>FrançaisCosta de Marfil</v>
      </c>
      <c r="AS72" s="72" t="str">
        <f t="shared" si="47"/>
        <v>Côte d'Ivoire</v>
      </c>
      <c r="AT72" s="72"/>
      <c r="AU72" s="72"/>
      <c r="CB72" s="74" t="s">
        <v>120</v>
      </c>
      <c r="CC72" s="74" t="s">
        <v>125</v>
      </c>
      <c r="CD72" s="74" t="s">
        <v>2</v>
      </c>
      <c r="CJ72" s="74" t="s">
        <v>121</v>
      </c>
      <c r="CK72" s="74" t="s">
        <v>122</v>
      </c>
      <c r="CR72" s="104"/>
    </row>
    <row r="73" spans="43:97" x14ac:dyDescent="0.3">
      <c r="AQ73" s="72">
        <v>6</v>
      </c>
      <c r="AR73" s="72" t="str">
        <f t="shared" si="50"/>
        <v>FrançaisGana</v>
      </c>
      <c r="AS73" s="72" t="str">
        <f t="shared" si="47"/>
        <v>Ghana</v>
      </c>
      <c r="AT73" s="72"/>
      <c r="AU73" s="72"/>
      <c r="BW73" s="72" t="s">
        <v>121</v>
      </c>
      <c r="BX73" s="72" t="s">
        <v>123</v>
      </c>
      <c r="BZ73" s="72">
        <v>1</v>
      </c>
      <c r="CA73" s="72" t="str">
        <f t="shared" ref="CA73:CA81" si="51">BL5&amp;"conv"&amp;BN5</f>
        <v>convMoin (Costa Rica)</v>
      </c>
      <c r="CB73" s="71">
        <f t="shared" ref="CB73:CB81" si="52">BM5</f>
        <v>1.7</v>
      </c>
      <c r="CC73" s="71">
        <f t="shared" ref="CC73:CC81" si="53">BW5</f>
        <v>7.9</v>
      </c>
      <c r="CD73" s="71">
        <f t="shared" ref="CD73:CD81" si="54">BP5</f>
        <v>11.4</v>
      </c>
      <c r="CJ73" s="72" t="str">
        <f>BL5</f>
        <v/>
      </c>
      <c r="CK73" s="72" t="str">
        <f>BL6</f>
        <v/>
      </c>
    </row>
    <row r="74" spans="43:97" x14ac:dyDescent="0.3">
      <c r="AQ74" s="72">
        <v>7</v>
      </c>
      <c r="AR74" s="72" t="str">
        <f t="shared" si="50"/>
        <v>FrançaisRepública Dominicana</v>
      </c>
      <c r="AS74" s="72" t="str">
        <f t="shared" si="47"/>
        <v>République dominicaine</v>
      </c>
      <c r="AT74" s="72"/>
      <c r="AU74" s="72"/>
      <c r="BZ74" s="72">
        <v>2</v>
      </c>
      <c r="CA74" s="72" t="str">
        <f t="shared" si="51"/>
        <v>convPaita</v>
      </c>
      <c r="CB74" s="71">
        <f t="shared" si="52"/>
        <v>1.75</v>
      </c>
      <c r="CC74" s="71">
        <f t="shared" si="53"/>
        <v>0</v>
      </c>
      <c r="CD74" s="71">
        <f t="shared" si="54"/>
        <v>0</v>
      </c>
      <c r="CJ74" s="72" t="str">
        <f t="shared" ref="CJ74:CJ80" si="55">BL7</f>
        <v/>
      </c>
      <c r="CK74" s="72" t="str">
        <f>CJ75</f>
        <v/>
      </c>
      <c r="CS74" s="71" t="s">
        <v>19</v>
      </c>
    </row>
    <row r="75" spans="43:97" x14ac:dyDescent="0.3">
      <c r="AQ75" s="72">
        <v>8</v>
      </c>
      <c r="AR75" s="72" t="str">
        <f t="shared" si="50"/>
        <v>FrançaisNicaragua</v>
      </c>
      <c r="AS75" s="72" t="str">
        <f t="shared" si="47"/>
        <v>Nicaragua</v>
      </c>
      <c r="AT75" s="72"/>
      <c r="AU75" s="72"/>
      <c r="BZ75" s="72">
        <v>3</v>
      </c>
      <c r="CA75" s="72" t="str">
        <f t="shared" si="51"/>
        <v>convTurbo/Santa Marta</v>
      </c>
      <c r="CB75" s="71">
        <f t="shared" si="52"/>
        <v>1.55</v>
      </c>
      <c r="CC75" s="71">
        <f t="shared" si="53"/>
        <v>8.25</v>
      </c>
      <c r="CD75" s="71">
        <f t="shared" si="54"/>
        <v>11.55</v>
      </c>
      <c r="CJ75" s="72" t="str">
        <f t="shared" si="55"/>
        <v/>
      </c>
      <c r="CK75" s="72" t="str">
        <f>CJ77</f>
        <v/>
      </c>
      <c r="CS75" s="71" t="s">
        <v>19</v>
      </c>
    </row>
    <row r="76" spans="43:97" x14ac:dyDescent="0.3">
      <c r="AQ76" s="72">
        <v>9</v>
      </c>
      <c r="AR76" s="72" t="str">
        <f t="shared" si="50"/>
        <v>FrançaisCamerún</v>
      </c>
      <c r="AS76" s="72" t="str">
        <f t="shared" si="47"/>
        <v>Cameroun</v>
      </c>
      <c r="AT76" s="72"/>
      <c r="AU76" s="72"/>
      <c r="BZ76" s="72">
        <v>4</v>
      </c>
      <c r="CA76" s="72" t="str">
        <f t="shared" si="51"/>
        <v>convBolivar</v>
      </c>
      <c r="CB76" s="71">
        <f t="shared" si="52"/>
        <v>1.42</v>
      </c>
      <c r="CC76" s="71">
        <f t="shared" si="53"/>
        <v>7.25</v>
      </c>
      <c r="CD76" s="71">
        <f t="shared" si="54"/>
        <v>11.05</v>
      </c>
      <c r="CJ76" s="72" t="str">
        <f t="shared" si="55"/>
        <v/>
      </c>
      <c r="CK76" s="72" t="str">
        <f>CJ78</f>
        <v/>
      </c>
      <c r="CS76" s="71" t="s">
        <v>19</v>
      </c>
    </row>
    <row r="77" spans="43:97" x14ac:dyDescent="0.3">
      <c r="AQ77" s="72">
        <v>1</v>
      </c>
      <c r="AR77" s="74" t="str">
        <f t="shared" ref="AR77:AR85" si="56">BA41&amp;AZ23</f>
        <v>PortuguêsPanama</v>
      </c>
      <c r="AS77" s="72" t="str">
        <f>AZ41</f>
        <v>Panamá</v>
      </c>
      <c r="AT77" s="74" t="s">
        <v>100</v>
      </c>
      <c r="AU77" s="72" t="s">
        <v>101</v>
      </c>
      <c r="BZ77" s="72">
        <v>5</v>
      </c>
      <c r="CA77" s="72" t="str">
        <f t="shared" si="51"/>
        <v>convAbidjan</v>
      </c>
      <c r="CB77" s="71">
        <f t="shared" si="52"/>
        <v>1.68</v>
      </c>
      <c r="CC77" s="71">
        <f t="shared" si="53"/>
        <v>0</v>
      </c>
      <c r="CD77" s="71">
        <f t="shared" si="54"/>
        <v>0</v>
      </c>
      <c r="CJ77" s="72" t="str">
        <f t="shared" si="55"/>
        <v/>
      </c>
      <c r="CK77" s="72" t="str">
        <f>CJ74</f>
        <v/>
      </c>
    </row>
    <row r="78" spans="43:97" x14ac:dyDescent="0.3">
      <c r="AQ78" s="72">
        <v>2</v>
      </c>
      <c r="AR78" s="72" t="str">
        <f t="shared" si="56"/>
        <v>PortuguêsPeru</v>
      </c>
      <c r="AS78" s="72" t="str">
        <f>AZ42</f>
        <v>Peru</v>
      </c>
      <c r="AT78" s="72"/>
      <c r="AU78" s="72"/>
      <c r="BZ78" s="72">
        <v>6</v>
      </c>
      <c r="CA78" s="72" t="str">
        <f t="shared" si="51"/>
        <v>convTema</v>
      </c>
      <c r="CB78" s="71">
        <f t="shared" si="52"/>
        <v>1.24</v>
      </c>
      <c r="CC78" s="71">
        <f t="shared" si="53"/>
        <v>8.1</v>
      </c>
      <c r="CD78" s="71">
        <f t="shared" si="54"/>
        <v>10.9</v>
      </c>
      <c r="CJ78" s="72" t="str">
        <f t="shared" si="55"/>
        <v/>
      </c>
    </row>
    <row r="79" spans="43:97" x14ac:dyDescent="0.3">
      <c r="AQ79" s="72">
        <v>3</v>
      </c>
      <c r="AR79" s="72" t="str">
        <f t="shared" si="56"/>
        <v>PortuguêsColombia</v>
      </c>
      <c r="AS79" s="72" t="str">
        <f>AZ43</f>
        <v>Colômbia</v>
      </c>
      <c r="AT79" s="72"/>
      <c r="AU79" s="72"/>
      <c r="BZ79" s="72">
        <v>7</v>
      </c>
      <c r="CA79" s="72" t="str">
        <f t="shared" si="51"/>
        <v>convManzanillo</v>
      </c>
      <c r="CB79" s="71">
        <f t="shared" si="52"/>
        <v>2.0499999999999998</v>
      </c>
      <c r="CC79" s="71">
        <f t="shared" si="53"/>
        <v>8.15</v>
      </c>
      <c r="CD79" s="71">
        <f t="shared" si="54"/>
        <v>12.6</v>
      </c>
      <c r="CJ79" s="72" t="str">
        <f t="shared" si="55"/>
        <v/>
      </c>
      <c r="CS79" s="71" t="s">
        <v>19</v>
      </c>
    </row>
    <row r="80" spans="43:97" x14ac:dyDescent="0.3">
      <c r="AQ80" s="72">
        <v>4</v>
      </c>
      <c r="AR80" s="72" t="str">
        <f t="shared" si="56"/>
        <v>PortuguêsEcuador</v>
      </c>
      <c r="AS80" s="72" t="str">
        <f>AZ44</f>
        <v>Equador</v>
      </c>
      <c r="AT80" s="72"/>
      <c r="AU80" s="72"/>
      <c r="BZ80" s="72">
        <v>8</v>
      </c>
      <c r="CA80" s="72" t="str">
        <f t="shared" si="51"/>
        <v>convCorinto</v>
      </c>
      <c r="CB80" s="71">
        <f t="shared" si="52"/>
        <v>1.39</v>
      </c>
      <c r="CC80" s="71">
        <f t="shared" si="53"/>
        <v>7.25</v>
      </c>
      <c r="CD80" s="105">
        <f t="shared" si="54"/>
        <v>10.85</v>
      </c>
      <c r="CJ80" s="72" t="str">
        <f t="shared" si="55"/>
        <v/>
      </c>
    </row>
    <row r="81" spans="43:97" x14ac:dyDescent="0.3">
      <c r="AQ81" s="72">
        <v>5</v>
      </c>
      <c r="AR81" s="72" t="str">
        <f t="shared" si="56"/>
        <v>PortuguêsIvory Coast</v>
      </c>
      <c r="AS81" s="72" t="str">
        <f t="shared" ref="AS81:AS85" si="57">AZ45</f>
        <v>Costa do Marfim</v>
      </c>
      <c r="AT81" s="72"/>
      <c r="AU81" s="72"/>
      <c r="BZ81" s="72">
        <v>9</v>
      </c>
      <c r="CA81" s="72" t="str">
        <f t="shared" si="51"/>
        <v>convDouala</v>
      </c>
      <c r="CB81" s="71">
        <f t="shared" si="52"/>
        <v>1.4</v>
      </c>
      <c r="CC81" s="71">
        <f t="shared" si="53"/>
        <v>7.75</v>
      </c>
      <c r="CD81" s="105">
        <f t="shared" si="54"/>
        <v>10.5</v>
      </c>
      <c r="CO81" s="71" t="str">
        <f>"Costs for the use of IFCO crates for the producer trading at FOB level (From the following list "&amp;CO82&amp;" trading at FOB level: rental of IFCO crates, destocking, customs and clearance, transport of IFCO crates to the farm, etc.):"</f>
        <v>Costs for the use of IFCO crates for the producer trading at FOB level (From the following list " C O N S I D E R   O N L Y   T H O S E   C O S T S   I N C U R R E D   B Y   T H E   P R O D U C E R " trading at FOB level: rental of IFCO crates, destocking, customs and clearance, transport of IFCO crates to the farm, etc.):</v>
      </c>
      <c r="CP81" s="71" t="str">
        <f>"Coûts d'utilisation des caisses IFCO pour le producteur négociant au niveau FOB (A partir de la liste suivante "&amp;CP82&amp;" négociant au niveau FOB : location des caisses IFCO, déstockage, douane et dédouanement, transport des caisses IFCO jusqu'à l'exploitation, etc.):"</f>
        <v>Coûts d'utilisation des caisses IFCO pour le producteur négociant au niveau FOB (A partir de la liste suivante " N E   C O N S I D E R E R   Q U E   L E S   C O U T S   S U P P O R T E S   P A R   L E   P R O D U C T E U R " négociant au niveau FOB : location des caisses IFCO, déstockage, douane et dédouanement, transport des caisses IFCO jusqu'à l'exploitation, etc.):</v>
      </c>
      <c r="CQ81" s="71" t="str">
        <f>"Custos de utilização de caixas IFCO para o produtor que efectua trocas comerciais ao nível FOB (da lista seguinte "&amp;CQ82&amp;" que comercializa ao nível FOB: aluguer de caixas IFCO, desarmazenagem, alfândegas e desalfandegamento, transporte das caixas IFCO para a exploração, etc.):"</f>
        <v>Custos de utilização de caixas IFCO para o produtor que efectua trocas comerciais ao nível FOB (da lista seguinte " C O N S I D E R A R   A P E N A S   O S   C U S T O S   I N C O R R I D O S   P E L O   P R O D U C E R " que comercializa ao nível FOB: aluguer de caixas IFCO, desarmazenagem, alfândegas e desalfandegamento, transporte das caixas IFCO para a exploração, etc.):</v>
      </c>
      <c r="CR81" s="71" t="str">
        <f>"Costos por uso de cajas IFCO para el productor que comercializa a nivel FOB (De la siguiente lista "&amp;CR82&amp;" que comercializa a nivel FOB: arriendo de cajas IFCO, desalmacenaje, nacionalización, transporte de cajas IFCO a la finca, etc):"</f>
        <v>Costos por uso de cajas IFCO para el productor que comercializa a nivel FOB (De la siguiente lista " C O N S I D E R E   S O L A M E N T E   A Q U E L L O S   C O S T O S   I N C U R R I D O S   P O R   E L   P R O D U C T O R " que comercializa a nivel FOB: arriendo de cajas IFCO, desalmacenaje, nacionalización, transporte de cajas IFCO a la finca, etc):</v>
      </c>
    </row>
    <row r="82" spans="43:97" x14ac:dyDescent="0.3">
      <c r="AQ82" s="72">
        <v>6</v>
      </c>
      <c r="AR82" s="72" t="str">
        <f t="shared" si="56"/>
        <v>PortuguêsGhana</v>
      </c>
      <c r="AS82" s="72" t="str">
        <f t="shared" si="57"/>
        <v>Gana</v>
      </c>
      <c r="AT82" s="72"/>
      <c r="AU82" s="72"/>
      <c r="BW82" s="72" t="s">
        <v>121</v>
      </c>
      <c r="BX82" s="72" t="s">
        <v>124</v>
      </c>
      <c r="BZ82" s="72">
        <v>1</v>
      </c>
      <c r="CA82" s="72" t="str">
        <f>BL5&amp;"conv"&amp;CB5</f>
        <v>conv</v>
      </c>
      <c r="CB82" s="72">
        <f>CB73</f>
        <v>1.7</v>
      </c>
      <c r="CC82" s="72">
        <f>CC73</f>
        <v>7.9</v>
      </c>
      <c r="CD82" s="92">
        <f>BZ5+CC82</f>
        <v>7.9</v>
      </c>
      <c r="CO82" s="74" t="s">
        <v>161</v>
      </c>
      <c r="CP82" s="87" t="s">
        <v>162</v>
      </c>
      <c r="CQ82" s="87" t="s">
        <v>163</v>
      </c>
      <c r="CR82" s="107" t="s">
        <v>160</v>
      </c>
      <c r="CS82" s="71" t="s">
        <v>19</v>
      </c>
    </row>
    <row r="83" spans="43:97" x14ac:dyDescent="0.3">
      <c r="AQ83" s="72">
        <v>7</v>
      </c>
      <c r="AR83" s="72" t="str">
        <f t="shared" si="56"/>
        <v>PortuguêsDominican Republic</v>
      </c>
      <c r="AS83" s="72" t="str">
        <f t="shared" si="57"/>
        <v>República Dominicana</v>
      </c>
      <c r="AT83" s="72"/>
      <c r="AU83" s="72"/>
      <c r="BZ83" s="72">
        <v>2</v>
      </c>
      <c r="CA83" s="72" t="str">
        <f>BL6&amp;"conv"&amp;CB6</f>
        <v>conv</v>
      </c>
      <c r="CB83" s="72">
        <f t="shared" ref="CB83:CC108" si="58">CB74</f>
        <v>1.75</v>
      </c>
      <c r="CC83" s="72">
        <f t="shared" si="58"/>
        <v>0</v>
      </c>
      <c r="CD83" s="92">
        <f>BZ6+CC83</f>
        <v>0</v>
      </c>
      <c r="CO83" s="71" t="s">
        <v>132</v>
      </c>
      <c r="CP83" s="71" t="s">
        <v>133</v>
      </c>
      <c r="CQ83" s="71" t="s">
        <v>134</v>
      </c>
      <c r="CR83" s="71" t="s">
        <v>135</v>
      </c>
    </row>
    <row r="84" spans="43:97" x14ac:dyDescent="0.3">
      <c r="AQ84" s="72">
        <v>8</v>
      </c>
      <c r="AR84" s="72" t="str">
        <f t="shared" si="56"/>
        <v>PortuguêsNicaragua</v>
      </c>
      <c r="AS84" s="72" t="str">
        <f t="shared" si="57"/>
        <v>Nicarágua</v>
      </c>
      <c r="AT84" s="72"/>
      <c r="AU84" s="72"/>
      <c r="BZ84" s="72">
        <v>3</v>
      </c>
      <c r="CA84" s="72" t="str">
        <f>BL7&amp;"conv"&amp;CB7</f>
        <v>conv</v>
      </c>
      <c r="CB84" s="72">
        <f t="shared" si="58"/>
        <v>1.55</v>
      </c>
      <c r="CC84" s="72">
        <f t="shared" si="58"/>
        <v>8.25</v>
      </c>
      <c r="CD84" s="92">
        <f>(BZ7+CC84)*0</f>
        <v>0</v>
      </c>
      <c r="CO84" s="71" t="s">
        <v>136</v>
      </c>
      <c r="CP84" s="71" t="s">
        <v>137</v>
      </c>
      <c r="CQ84" s="71" t="s">
        <v>138</v>
      </c>
      <c r="CR84" s="71" t="s">
        <v>139</v>
      </c>
    </row>
    <row r="85" spans="43:97" x14ac:dyDescent="0.3">
      <c r="AQ85" s="72">
        <v>9</v>
      </c>
      <c r="AR85" s="72" t="str">
        <f t="shared" si="56"/>
        <v>PortuguêsCameroon</v>
      </c>
      <c r="AS85" s="72" t="str">
        <f t="shared" si="57"/>
        <v>Camarões</v>
      </c>
      <c r="AT85" s="72"/>
      <c r="AU85" s="72"/>
      <c r="BZ85" s="72">
        <v>4</v>
      </c>
      <c r="CA85" s="72" t="str">
        <f>BL8&amp;"conv"&amp;CB8</f>
        <v>convGuayaquil (llegando a puerto desde Machala)</v>
      </c>
      <c r="CB85" s="72">
        <f t="shared" si="58"/>
        <v>1.42</v>
      </c>
      <c r="CC85" s="72">
        <f>CC76</f>
        <v>7.25</v>
      </c>
      <c r="CD85" s="92">
        <f>BZ8+CC85</f>
        <v>11.370000000000001</v>
      </c>
      <c r="CO85" s="72"/>
      <c r="CR85" s="71" t="s">
        <v>330</v>
      </c>
    </row>
    <row r="86" spans="43:97" x14ac:dyDescent="0.3">
      <c r="AQ86" s="72">
        <v>1</v>
      </c>
      <c r="AR86" s="74" t="str">
        <f t="shared" ref="AR86:AR94" si="59">BA41&amp;AZ32</f>
        <v>PortuguêsPanama</v>
      </c>
      <c r="AS86" s="72" t="str">
        <f t="shared" ref="AS86:AS103" si="60">AS77</f>
        <v>Panamá</v>
      </c>
      <c r="AT86" s="74" t="s">
        <v>102</v>
      </c>
      <c r="AU86" s="72" t="s">
        <v>101</v>
      </c>
      <c r="BZ86" s="72">
        <v>5</v>
      </c>
      <c r="CA86" s="72" t="str">
        <f>BL8&amp;"conv"&amp;CB9</f>
        <v>convGuayaquil/Posorja (llegando a puerto desde Santa Elena)</v>
      </c>
      <c r="CB86" s="72">
        <f>CB77*0+CB76</f>
        <v>1.42</v>
      </c>
      <c r="CC86" s="72">
        <f>CC77*0+CC76</f>
        <v>7.25</v>
      </c>
      <c r="CD86" s="92">
        <f>(BZ9+CC86)*1</f>
        <v>11.129999999999999</v>
      </c>
      <c r="CO86" s="71" t="s">
        <v>159</v>
      </c>
    </row>
    <row r="87" spans="43:97" x14ac:dyDescent="0.3">
      <c r="AQ87" s="72">
        <v>2</v>
      </c>
      <c r="AR87" s="72" t="str">
        <f t="shared" si="59"/>
        <v>PortuguêsPérou</v>
      </c>
      <c r="AS87" s="72" t="str">
        <f t="shared" si="60"/>
        <v>Peru</v>
      </c>
      <c r="AT87" s="72"/>
      <c r="AU87" s="72"/>
      <c r="BZ87" s="72">
        <v>6</v>
      </c>
      <c r="CA87" s="72" t="str">
        <f>BL10&amp;"conv"&amp;CB10</f>
        <v>conv</v>
      </c>
      <c r="CB87" s="72">
        <f t="shared" si="58"/>
        <v>1.24</v>
      </c>
      <c r="CC87" s="72">
        <f t="shared" si="58"/>
        <v>8.1</v>
      </c>
      <c r="CD87" s="92">
        <f>(BZ10+CC87)*0</f>
        <v>0</v>
      </c>
      <c r="CO87" s="72"/>
    </row>
    <row r="88" spans="43:97" x14ac:dyDescent="0.3">
      <c r="AQ88" s="72">
        <v>3</v>
      </c>
      <c r="AR88" s="72" t="str">
        <f t="shared" si="59"/>
        <v>PortuguêsColombie</v>
      </c>
      <c r="AS88" s="72" t="str">
        <f t="shared" si="60"/>
        <v>Colômbia</v>
      </c>
      <c r="AT88" s="72"/>
      <c r="AU88" s="72"/>
      <c r="BM88" s="72" t="e">
        <f>BN28&amp;"_type"</f>
        <v>#N/A</v>
      </c>
      <c r="BZ88" s="72">
        <v>7</v>
      </c>
      <c r="CA88" s="72" t="str">
        <f>BL11&amp;"conv"&amp;CB11</f>
        <v>convCaucedo</v>
      </c>
      <c r="CB88" s="72">
        <f t="shared" si="58"/>
        <v>2.0499999999999998</v>
      </c>
      <c r="CC88" s="72">
        <f t="shared" si="58"/>
        <v>8.15</v>
      </c>
      <c r="CD88" s="92">
        <f>BZ11+CC88</f>
        <v>12.55</v>
      </c>
      <c r="CO88" s="72"/>
    </row>
    <row r="89" spans="43:97" x14ac:dyDescent="0.3">
      <c r="AQ89" s="72">
        <v>4</v>
      </c>
      <c r="AR89" s="72" t="str">
        <f t="shared" si="59"/>
        <v>PortuguêsÉquateur</v>
      </c>
      <c r="AS89" s="72" t="str">
        <f t="shared" si="60"/>
        <v>Equador</v>
      </c>
      <c r="AT89" s="72"/>
      <c r="AU89" s="72"/>
      <c r="BV89" s="72" t="s">
        <v>19</v>
      </c>
      <c r="BZ89" s="72">
        <v>8</v>
      </c>
      <c r="CA89" s="72" t="str">
        <f>BL12&amp;"conv"&amp;CB12</f>
        <v>convMoin (CR)/Cortez (HN)</v>
      </c>
      <c r="CB89" s="72">
        <f t="shared" si="58"/>
        <v>1.39</v>
      </c>
      <c r="CC89" s="72">
        <f t="shared" si="58"/>
        <v>7.25</v>
      </c>
      <c r="CD89" s="92">
        <f>BZ12+CC89</f>
        <v>12.219999999999999</v>
      </c>
    </row>
    <row r="90" spans="43:97" x14ac:dyDescent="0.3">
      <c r="AQ90" s="72">
        <v>5</v>
      </c>
      <c r="AR90" s="72" t="str">
        <f t="shared" si="59"/>
        <v>PortuguêsCôte d'Ivoire</v>
      </c>
      <c r="AS90" s="72" t="str">
        <f t="shared" si="60"/>
        <v>Costa do Marfim</v>
      </c>
      <c r="AT90" s="72"/>
      <c r="AU90" s="72"/>
      <c r="BV90" s="72" t="s">
        <v>19</v>
      </c>
      <c r="BZ90" s="72">
        <v>9</v>
      </c>
      <c r="CA90" s="72" t="str">
        <f>BL13&amp;"conv"&amp;CB13</f>
        <v>conv</v>
      </c>
      <c r="CB90" s="72">
        <f t="shared" si="58"/>
        <v>1.4</v>
      </c>
      <c r="CC90" s="72">
        <f t="shared" si="58"/>
        <v>7.75</v>
      </c>
      <c r="CD90" s="92">
        <f>(BZ13+CC90)*1</f>
        <v>7.75</v>
      </c>
    </row>
    <row r="91" spans="43:97" x14ac:dyDescent="0.3">
      <c r="AQ91" s="72">
        <v>6</v>
      </c>
      <c r="AR91" s="72" t="str">
        <f t="shared" si="59"/>
        <v>PortuguêsGhana</v>
      </c>
      <c r="AS91" s="72" t="str">
        <f t="shared" si="60"/>
        <v>Gana</v>
      </c>
      <c r="AT91" s="72"/>
      <c r="AU91" s="72"/>
      <c r="BM91" s="72" t="str">
        <f t="shared" ref="BM91:BU91" si="61">BM34&amp;"_type"</f>
        <v>EC_type</v>
      </c>
      <c r="BN91" s="72" t="str">
        <f t="shared" si="61"/>
        <v>CO_type</v>
      </c>
      <c r="BO91" s="72" t="str">
        <f t="shared" si="61"/>
        <v>DO_type</v>
      </c>
      <c r="BP91" s="72" t="str">
        <f t="shared" si="61"/>
        <v>PE_type</v>
      </c>
      <c r="BQ91" s="72" t="str">
        <f t="shared" si="61"/>
        <v>NI_type</v>
      </c>
      <c r="BR91" s="72" t="str">
        <f t="shared" si="61"/>
        <v>PA_type</v>
      </c>
      <c r="BS91" s="72" t="str">
        <f t="shared" si="61"/>
        <v>GH_type</v>
      </c>
      <c r="BT91" s="72" t="str">
        <f t="shared" si="61"/>
        <v>CM_type</v>
      </c>
      <c r="BU91" s="72" t="str">
        <f t="shared" si="61"/>
        <v>CI_type</v>
      </c>
      <c r="BW91" s="72" t="s">
        <v>122</v>
      </c>
      <c r="BX91" s="72" t="s">
        <v>123</v>
      </c>
      <c r="BZ91" s="72">
        <v>1</v>
      </c>
      <c r="CA91" s="72" t="str">
        <f t="shared" ref="CA91:CA99" si="62">BL5&amp;"org"&amp;BN5</f>
        <v>orgMoin (Costa Rica)</v>
      </c>
      <c r="CB91" s="72">
        <f t="shared" si="58"/>
        <v>1.7</v>
      </c>
      <c r="CC91" s="71">
        <f t="shared" ref="CC91:CC99" si="63">BX5</f>
        <v>0</v>
      </c>
      <c r="CD91" s="71">
        <f t="shared" ref="CD91:CD99" si="64">BQ5</f>
        <v>0</v>
      </c>
    </row>
    <row r="92" spans="43:97" x14ac:dyDescent="0.3">
      <c r="AQ92" s="72">
        <v>7</v>
      </c>
      <c r="AR92" s="72" t="str">
        <f t="shared" si="59"/>
        <v>PortuguêsRépublique dominicaine</v>
      </c>
      <c r="AS92" s="72" t="str">
        <f t="shared" si="60"/>
        <v>República Dominicana</v>
      </c>
      <c r="AT92" s="72"/>
      <c r="AU92" s="72"/>
      <c r="BL92" s="81" t="e" cm="1">
        <f t="array" ref="BL92">INDEX(BM92:BU93,,MATCH(BM88,BM91:BU91,0))</f>
        <v>#N/A</v>
      </c>
      <c r="BM92" s="72" t="str">
        <f>BH21</f>
        <v>banano Fairtrade convencional</v>
      </c>
      <c r="BN92" s="72" t="str">
        <f>BM92</f>
        <v>banano Fairtrade convencional</v>
      </c>
      <c r="BO92" s="72" t="str">
        <f>BN92</f>
        <v>banano Fairtrade convencional</v>
      </c>
      <c r="BQ92" s="72" t="str">
        <f>BN92</f>
        <v>banano Fairtrade convencional</v>
      </c>
      <c r="BR92" s="72" t="str">
        <f>BN92</f>
        <v>banano Fairtrade convencional</v>
      </c>
      <c r="BS92" s="72" t="str">
        <f>BM92</f>
        <v>banano Fairtrade convencional</v>
      </c>
      <c r="BT92" s="72" t="str">
        <f>BS92</f>
        <v>banano Fairtrade convencional</v>
      </c>
      <c r="BU92" s="72" t="str">
        <f>BS92</f>
        <v>banano Fairtrade convencional</v>
      </c>
      <c r="BZ92" s="72">
        <v>2</v>
      </c>
      <c r="CA92" s="72" t="str">
        <f t="shared" si="62"/>
        <v>orgPaita</v>
      </c>
      <c r="CB92" s="72">
        <f t="shared" si="58"/>
        <v>1.75</v>
      </c>
      <c r="CC92" s="71">
        <f t="shared" si="63"/>
        <v>9.8000000000000007</v>
      </c>
      <c r="CD92" s="71">
        <f t="shared" si="64"/>
        <v>13.95</v>
      </c>
    </row>
    <row r="93" spans="43:97" x14ac:dyDescent="0.3">
      <c r="AQ93" s="72">
        <v>8</v>
      </c>
      <c r="AR93" s="72" t="str">
        <f t="shared" si="59"/>
        <v>PortuguêsNicaragua</v>
      </c>
      <c r="AS93" s="72" t="str">
        <f t="shared" si="60"/>
        <v>Nicarágua</v>
      </c>
      <c r="AT93" s="72"/>
      <c r="AU93" s="72"/>
      <c r="BL93" s="81"/>
      <c r="BM93" s="72" t="str">
        <f>BH22</f>
        <v>banano Fairtrade orgánico</v>
      </c>
      <c r="BN93" s="72" t="str">
        <f>BM93</f>
        <v>banano Fairtrade orgánico</v>
      </c>
      <c r="BO93" s="72" t="str">
        <f>BN93</f>
        <v>banano Fairtrade orgánico</v>
      </c>
      <c r="BP93" s="72" t="str">
        <f>BO93</f>
        <v>banano Fairtrade orgánico</v>
      </c>
      <c r="BS93" s="72" t="str">
        <f>BM93</f>
        <v>banano Fairtrade orgánico</v>
      </c>
      <c r="BU93" s="72" t="str">
        <f>BS93</f>
        <v>banano Fairtrade orgánico</v>
      </c>
      <c r="BZ93" s="72">
        <v>3</v>
      </c>
      <c r="CA93" s="72" t="str">
        <f t="shared" si="62"/>
        <v>orgTurbo/Santa Marta</v>
      </c>
      <c r="CB93" s="72">
        <f t="shared" si="58"/>
        <v>1.55</v>
      </c>
      <c r="CC93" s="71">
        <f t="shared" si="63"/>
        <v>10.5</v>
      </c>
      <c r="CD93" s="71">
        <f t="shared" si="64"/>
        <v>13.9</v>
      </c>
    </row>
    <row r="94" spans="43:97" x14ac:dyDescent="0.3">
      <c r="AQ94" s="72">
        <v>9</v>
      </c>
      <c r="AR94" s="72" t="str">
        <f t="shared" si="59"/>
        <v>PortuguêsCameroun</v>
      </c>
      <c r="AS94" s="72" t="str">
        <f t="shared" si="60"/>
        <v>Camarões</v>
      </c>
      <c r="AT94" s="72"/>
      <c r="AU94" s="72"/>
      <c r="BZ94" s="72">
        <v>4</v>
      </c>
      <c r="CA94" s="72" t="str">
        <f t="shared" si="62"/>
        <v>orgBolivar</v>
      </c>
      <c r="CB94" s="72">
        <f t="shared" si="58"/>
        <v>1.42</v>
      </c>
      <c r="CC94" s="71">
        <f t="shared" si="63"/>
        <v>9.9499999999999993</v>
      </c>
      <c r="CD94" s="71">
        <f t="shared" si="64"/>
        <v>13.85</v>
      </c>
    </row>
    <row r="95" spans="43:97" x14ac:dyDescent="0.3">
      <c r="AQ95" s="72">
        <v>1</v>
      </c>
      <c r="AR95" s="74" t="str">
        <f>BA41&amp;AZ50</f>
        <v>PortuguêsPanamá</v>
      </c>
      <c r="AS95" s="72" t="str">
        <f t="shared" si="60"/>
        <v>Panamá</v>
      </c>
      <c r="AT95" s="74" t="s">
        <v>103</v>
      </c>
      <c r="AU95" s="72" t="s">
        <v>101</v>
      </c>
      <c r="BZ95" s="72">
        <v>5</v>
      </c>
      <c r="CA95" s="72" t="str">
        <f t="shared" si="62"/>
        <v>orgAbidjan</v>
      </c>
      <c r="CB95" s="72">
        <f>CB86*0+CB77</f>
        <v>1.68</v>
      </c>
      <c r="CC95" s="71">
        <f t="shared" si="63"/>
        <v>0</v>
      </c>
      <c r="CD95" s="71">
        <f t="shared" si="64"/>
        <v>0</v>
      </c>
    </row>
    <row r="96" spans="43:97" x14ac:dyDescent="0.3">
      <c r="AQ96" s="72">
        <v>2</v>
      </c>
      <c r="AR96" s="72" t="str">
        <f>BA42&amp;AZ51</f>
        <v>PortuguêsPerú</v>
      </c>
      <c r="AS96" s="72" t="str">
        <f t="shared" si="60"/>
        <v>Peru</v>
      </c>
      <c r="AT96" s="72"/>
      <c r="AU96" s="72"/>
      <c r="BL96" s="81" t="s">
        <v>319</v>
      </c>
      <c r="BM96" s="72" t="e">
        <f>BN28</f>
        <v>#N/A</v>
      </c>
      <c r="BN96" s="72" t="b">
        <f>ISERROR(BM96)</f>
        <v>1</v>
      </c>
      <c r="BO96" s="72" t="s">
        <v>318</v>
      </c>
      <c r="BZ96" s="72">
        <v>6</v>
      </c>
      <c r="CA96" s="72" t="str">
        <f t="shared" si="62"/>
        <v>orgTema</v>
      </c>
      <c r="CB96" s="72">
        <f t="shared" si="58"/>
        <v>1.24</v>
      </c>
      <c r="CC96" s="71">
        <f t="shared" si="63"/>
        <v>10.9</v>
      </c>
      <c r="CD96" s="71">
        <f t="shared" si="64"/>
        <v>13.7</v>
      </c>
    </row>
    <row r="97" spans="2:138" x14ac:dyDescent="0.3">
      <c r="AQ97" s="72">
        <v>3</v>
      </c>
      <c r="AR97" s="72" t="str">
        <f>BA43&amp;AZ52</f>
        <v>PortuguêsColombia</v>
      </c>
      <c r="AS97" s="72" t="str">
        <f t="shared" si="60"/>
        <v>Colômbia</v>
      </c>
      <c r="AT97" s="72"/>
      <c r="AU97" s="72"/>
      <c r="BT97" s="93"/>
      <c r="BZ97" s="72">
        <v>7</v>
      </c>
      <c r="CA97" s="72" t="str">
        <f t="shared" si="62"/>
        <v>orgManzanillo</v>
      </c>
      <c r="CB97" s="72">
        <f t="shared" si="58"/>
        <v>2.0499999999999998</v>
      </c>
      <c r="CC97" s="71">
        <f t="shared" si="63"/>
        <v>10.6</v>
      </c>
      <c r="CD97" s="71">
        <f t="shared" si="64"/>
        <v>15.05</v>
      </c>
    </row>
    <row r="98" spans="2:138" x14ac:dyDescent="0.3">
      <c r="AQ98" s="72">
        <v>4</v>
      </c>
      <c r="AR98" s="72" t="str">
        <f>BA44&amp;AZ53</f>
        <v>PortuguêsEcuador</v>
      </c>
      <c r="AS98" s="72" t="str">
        <f t="shared" si="60"/>
        <v>Equador</v>
      </c>
      <c r="AT98" s="72"/>
      <c r="AU98" s="72"/>
      <c r="BL98" s="81" t="s">
        <v>320</v>
      </c>
      <c r="BM98" s="72" t="e">
        <f>VLOOKUP(C9,BM92:BU93,MATCH(BM88,BM91:BU91,0),FALSE)</f>
        <v>#N/A</v>
      </c>
      <c r="BN98" s="72">
        <f>IFERROR(BM98=0,1)</f>
        <v>1</v>
      </c>
      <c r="BO98" s="72" t="s">
        <v>317</v>
      </c>
      <c r="BT98" s="93"/>
      <c r="BU98" s="72" t="e">
        <f>MATCH(BM88,BM91:BU91,0)</f>
        <v>#N/A</v>
      </c>
      <c r="BZ98" s="72">
        <v>8</v>
      </c>
      <c r="CA98" s="72" t="str">
        <f t="shared" si="62"/>
        <v>orgCorinto</v>
      </c>
      <c r="CB98" s="72">
        <f t="shared" si="58"/>
        <v>1.39</v>
      </c>
      <c r="CC98" s="71">
        <f t="shared" si="63"/>
        <v>0</v>
      </c>
      <c r="CD98" s="71">
        <f t="shared" si="64"/>
        <v>0</v>
      </c>
    </row>
    <row r="99" spans="2:138" x14ac:dyDescent="0.3">
      <c r="AQ99" s="72">
        <v>5</v>
      </c>
      <c r="AR99" s="72" t="str">
        <f t="shared" ref="AR99:AR103" si="65">BA45&amp;AZ54</f>
        <v>PortuguêsCosta de Marfil</v>
      </c>
      <c r="AS99" s="72" t="str">
        <f t="shared" si="60"/>
        <v>Costa do Marfim</v>
      </c>
      <c r="AT99" s="72"/>
      <c r="AU99" s="72"/>
      <c r="BN99" s="72" t="b">
        <f>OR(BN98,BN98=1)</f>
        <v>1</v>
      </c>
      <c r="BZ99" s="72">
        <v>9</v>
      </c>
      <c r="CA99" s="72" t="str">
        <f t="shared" si="62"/>
        <v>orgDouala</v>
      </c>
      <c r="CB99" s="72">
        <f t="shared" si="58"/>
        <v>1.4</v>
      </c>
      <c r="CC99" s="71">
        <f t="shared" si="63"/>
        <v>0</v>
      </c>
      <c r="CD99" s="71">
        <f t="shared" si="64"/>
        <v>0</v>
      </c>
    </row>
    <row r="100" spans="2:138" x14ac:dyDescent="0.3">
      <c r="AQ100" s="72">
        <v>6</v>
      </c>
      <c r="AR100" s="72" t="str">
        <f t="shared" si="65"/>
        <v>PortuguêsGana</v>
      </c>
      <c r="AS100" s="72" t="str">
        <f t="shared" si="60"/>
        <v>Gana</v>
      </c>
      <c r="AT100" s="72"/>
      <c r="AU100" s="72"/>
      <c r="BL100" s="81" t="s">
        <v>321</v>
      </c>
      <c r="BM100" s="72" t="e">
        <f>BO65</f>
        <v>#N/A</v>
      </c>
      <c r="BN100" s="72" t="b">
        <f>ISERROR(BM100)</f>
        <v>1</v>
      </c>
      <c r="BO100" s="72" t="s">
        <v>281</v>
      </c>
      <c r="BW100" s="72" t="s">
        <v>122</v>
      </c>
      <c r="BX100" s="72" t="s">
        <v>124</v>
      </c>
      <c r="BZ100" s="72">
        <v>1</v>
      </c>
      <c r="CA100" s="72" t="str">
        <f>BL5&amp;"org"&amp;CB5</f>
        <v>org</v>
      </c>
      <c r="CB100" s="72">
        <f t="shared" si="58"/>
        <v>1.7</v>
      </c>
      <c r="CC100" s="72">
        <f>CC91</f>
        <v>0</v>
      </c>
      <c r="CD100" s="72">
        <f>CA5+CC100</f>
        <v>0</v>
      </c>
    </row>
    <row r="101" spans="2:138" x14ac:dyDescent="0.3">
      <c r="B101" s="55"/>
      <c r="AQ101" s="72">
        <v>7</v>
      </c>
      <c r="AR101" s="72" t="str">
        <f t="shared" si="65"/>
        <v>PortuguêsRepública Dominicana</v>
      </c>
      <c r="AS101" s="72" t="str">
        <f t="shared" si="60"/>
        <v>República Dominicana</v>
      </c>
      <c r="AT101" s="72"/>
      <c r="AU101" s="72"/>
      <c r="BO101" s="72" t="s">
        <v>277</v>
      </c>
      <c r="BZ101" s="72">
        <v>2</v>
      </c>
      <c r="CA101" s="72" t="str">
        <f>BL6&amp;"org"&amp;CB6</f>
        <v>org</v>
      </c>
      <c r="CB101" s="72">
        <f t="shared" si="58"/>
        <v>1.75</v>
      </c>
      <c r="CC101" s="72">
        <f t="shared" si="58"/>
        <v>9.8000000000000007</v>
      </c>
      <c r="CD101" s="72">
        <f>(CA6+CC101)*0</f>
        <v>0</v>
      </c>
    </row>
    <row r="102" spans="2:138" x14ac:dyDescent="0.3">
      <c r="AQ102" s="72">
        <v>8</v>
      </c>
      <c r="AR102" s="72" t="str">
        <f t="shared" si="65"/>
        <v>PortuguêsNicaragua</v>
      </c>
      <c r="AS102" s="72" t="str">
        <f t="shared" si="60"/>
        <v>Nicarágua</v>
      </c>
      <c r="AT102" s="72"/>
      <c r="AU102" s="72"/>
      <c r="BZ102" s="72">
        <v>3</v>
      </c>
      <c r="CA102" s="72" t="str">
        <f>BL7&amp;"org"&amp;CB7</f>
        <v>org</v>
      </c>
      <c r="CB102" s="72">
        <f t="shared" si="58"/>
        <v>1.55</v>
      </c>
      <c r="CC102" s="72">
        <f t="shared" si="58"/>
        <v>10.5</v>
      </c>
      <c r="CD102" s="72">
        <f>(CA7+CC102)*0</f>
        <v>0</v>
      </c>
    </row>
    <row r="103" spans="2:138" x14ac:dyDescent="0.3">
      <c r="B103" s="66"/>
      <c r="C103" s="61"/>
      <c r="D103" s="66"/>
      <c r="E103" s="61"/>
      <c r="F103" s="67"/>
      <c r="AQ103" s="72">
        <v>9</v>
      </c>
      <c r="AR103" s="72" t="str">
        <f t="shared" si="65"/>
        <v>PortuguêsCamerún</v>
      </c>
      <c r="AS103" s="72" t="str">
        <f t="shared" si="60"/>
        <v>Camarões</v>
      </c>
      <c r="AT103" s="72"/>
      <c r="AU103" s="72"/>
      <c r="BL103" s="81" t="s">
        <v>322</v>
      </c>
      <c r="BM103" s="72" t="e">
        <f>VLOOKUP(C9,BH21:BH22,1,FALSE)</f>
        <v>#N/A</v>
      </c>
      <c r="BN103" s="72" t="b">
        <f>ISERROR(BM103)</f>
        <v>1</v>
      </c>
      <c r="BO103" s="72" t="s">
        <v>282</v>
      </c>
      <c r="BZ103" s="72">
        <v>4</v>
      </c>
      <c r="CA103" s="72" t="str">
        <f>BL8&amp;"org"&amp;CB8</f>
        <v>orgGuayaquil (llegando a puerto desde Machala)</v>
      </c>
      <c r="CB103" s="72">
        <f t="shared" si="58"/>
        <v>1.42</v>
      </c>
      <c r="CC103" s="72">
        <f t="shared" si="58"/>
        <v>9.9499999999999993</v>
      </c>
      <c r="CD103" s="92">
        <f>CA8+CC103</f>
        <v>14.169999999999998</v>
      </c>
    </row>
    <row r="104" spans="2:138" x14ac:dyDescent="0.3">
      <c r="B104" s="69"/>
      <c r="C104" s="70"/>
      <c r="D104" s="69"/>
      <c r="E104" s="70"/>
      <c r="AQ104" s="72">
        <v>1</v>
      </c>
      <c r="AR104" s="74" t="str">
        <f t="shared" ref="AR104:AR112" si="66">BA50&amp;AZ23</f>
        <v>EspañolPanama</v>
      </c>
      <c r="AS104" s="72" t="str">
        <f t="shared" ref="AS104:AS112" si="67">AZ50</f>
        <v>Panamá</v>
      </c>
      <c r="AT104" s="74" t="s">
        <v>105</v>
      </c>
      <c r="AU104" s="72" t="s">
        <v>104</v>
      </c>
      <c r="BN104" s="72" t="b">
        <f>ISERROR(BN98)</f>
        <v>0</v>
      </c>
      <c r="BO104" s="72" t="s">
        <v>276</v>
      </c>
      <c r="BZ104" s="72">
        <v>5</v>
      </c>
      <c r="CA104" s="72" t="str">
        <f>BL8&amp;"org"&amp;CB9</f>
        <v>orgGuayaquil/Posorja (llegando a puerto desde Santa Elena)</v>
      </c>
      <c r="CB104" s="72">
        <f>CB95*0+CB94</f>
        <v>1.42</v>
      </c>
      <c r="CC104" s="72">
        <f>CC95*0+CC94</f>
        <v>9.9499999999999993</v>
      </c>
      <c r="CD104" s="92">
        <f>CA9+CC104</f>
        <v>13.93</v>
      </c>
    </row>
    <row r="105" spans="2:138" x14ac:dyDescent="0.3">
      <c r="B105" s="66"/>
      <c r="C105" s="61"/>
      <c r="D105" s="66"/>
      <c r="E105" s="61"/>
      <c r="AQ105" s="72">
        <v>2</v>
      </c>
      <c r="AR105" s="72" t="str">
        <f t="shared" si="66"/>
        <v>EspañolPeru</v>
      </c>
      <c r="AS105" s="72" t="str">
        <f t="shared" si="67"/>
        <v>Perú</v>
      </c>
      <c r="AT105" s="72"/>
      <c r="AU105" s="72"/>
      <c r="BZ105" s="72">
        <v>6</v>
      </c>
      <c r="CA105" s="72" t="str">
        <f>BL10&amp;"org"&amp;CB10</f>
        <v>org</v>
      </c>
      <c r="CB105" s="72">
        <f t="shared" si="58"/>
        <v>1.24</v>
      </c>
      <c r="CC105" s="72">
        <f t="shared" si="58"/>
        <v>10.9</v>
      </c>
      <c r="CD105" s="72">
        <f>(CA10+CC105)*0</f>
        <v>0</v>
      </c>
    </row>
    <row r="106" spans="2:138" ht="14.4" customHeight="1" x14ac:dyDescent="0.3">
      <c r="B106" s="68"/>
      <c r="C106" s="62"/>
      <c r="D106" s="68"/>
      <c r="E106" s="62"/>
      <c r="AQ106" s="72">
        <v>3</v>
      </c>
      <c r="AR106" s="72" t="str">
        <f t="shared" si="66"/>
        <v>EspañolColombia</v>
      </c>
      <c r="AS106" s="72" t="str">
        <f t="shared" si="67"/>
        <v>Colombia</v>
      </c>
      <c r="AT106" s="72"/>
      <c r="AU106" s="72"/>
      <c r="BL106" s="81" t="s">
        <v>323</v>
      </c>
      <c r="BM106" s="72" t="e">
        <f>VLOOKUP(C9,_xlfn.ANCHORARRAY(BL92),1,FALSE)</f>
        <v>#N/A</v>
      </c>
      <c r="BN106" s="72" t="b">
        <f>ISERROR(BM106)</f>
        <v>1</v>
      </c>
      <c r="BO106" s="72" t="s">
        <v>283</v>
      </c>
      <c r="BZ106" s="72">
        <v>7</v>
      </c>
      <c r="CA106" s="72" t="str">
        <f>BL11&amp;"org"&amp;CB11</f>
        <v>orgCaucedo</v>
      </c>
      <c r="CB106" s="72">
        <f t="shared" si="58"/>
        <v>2.0499999999999998</v>
      </c>
      <c r="CC106" s="72">
        <f t="shared" si="58"/>
        <v>10.6</v>
      </c>
      <c r="CD106" s="72">
        <f>CA11+CC106</f>
        <v>15</v>
      </c>
    </row>
    <row r="107" spans="2:138" x14ac:dyDescent="0.3">
      <c r="B107" s="68"/>
      <c r="C107" s="62"/>
      <c r="D107" s="68"/>
      <c r="E107" s="62"/>
      <c r="AQ107" s="72">
        <v>4</v>
      </c>
      <c r="AR107" s="72" t="str">
        <f t="shared" si="66"/>
        <v>EspañolEcuador</v>
      </c>
      <c r="AS107" s="72" t="str">
        <f t="shared" si="67"/>
        <v>Ecuador</v>
      </c>
      <c r="AT107" s="72"/>
      <c r="AU107" s="72"/>
      <c r="BO107" s="72" t="s">
        <v>276</v>
      </c>
      <c r="BZ107" s="72">
        <v>8</v>
      </c>
      <c r="CA107" s="72" t="str">
        <f>BL12&amp;"org"&amp;CB12</f>
        <v>orgMoin (CR)/Cortez (HN)</v>
      </c>
      <c r="CB107" s="72">
        <f>CB98</f>
        <v>1.39</v>
      </c>
      <c r="CC107" s="72">
        <f>CC98</f>
        <v>0</v>
      </c>
      <c r="CD107" s="72">
        <f>CA12+CC107</f>
        <v>0</v>
      </c>
    </row>
    <row r="108" spans="2:138" x14ac:dyDescent="0.3">
      <c r="B108" s="69"/>
      <c r="C108" s="70"/>
      <c r="D108" s="69"/>
      <c r="E108" s="70"/>
      <c r="AQ108" s="72">
        <v>5</v>
      </c>
      <c r="AR108" s="72" t="str">
        <f t="shared" si="66"/>
        <v>EspañolIvory Coast</v>
      </c>
      <c r="AS108" s="72" t="str">
        <f t="shared" si="67"/>
        <v>Costa de Marfil</v>
      </c>
      <c r="AT108" s="72"/>
      <c r="AU108" s="72"/>
      <c r="BZ108" s="72">
        <v>9</v>
      </c>
      <c r="CA108" s="72" t="str">
        <f>BL13&amp;"org"&amp;CB13</f>
        <v>org</v>
      </c>
      <c r="CB108" s="72">
        <f t="shared" si="58"/>
        <v>1.4</v>
      </c>
      <c r="CC108" s="72">
        <f t="shared" ref="CC108" si="68">CC99</f>
        <v>0</v>
      </c>
      <c r="CD108" s="72">
        <f>CA13+CC108</f>
        <v>0</v>
      </c>
    </row>
    <row r="109" spans="2:138" x14ac:dyDescent="0.3">
      <c r="B109" s="65"/>
      <c r="D109" s="65"/>
      <c r="AQ109" s="72">
        <v>6</v>
      </c>
      <c r="AR109" s="72" t="str">
        <f t="shared" si="66"/>
        <v>EspañolGhana</v>
      </c>
      <c r="AS109" s="72" t="str">
        <f t="shared" si="67"/>
        <v>Gana</v>
      </c>
      <c r="AT109" s="72"/>
      <c r="AU109" s="72"/>
      <c r="BL109" s="81" t="s">
        <v>324</v>
      </c>
      <c r="BM109" s="101" t="e">
        <f>BN32</f>
        <v>#N/A</v>
      </c>
      <c r="BN109" s="72" t="e">
        <f>OR(ISERROR(BM106),ISERROR(BM109),BM109=0)</f>
        <v>#N/A</v>
      </c>
      <c r="BO109" s="72" t="s">
        <v>284</v>
      </c>
    </row>
    <row r="110" spans="2:138" x14ac:dyDescent="0.3">
      <c r="B110" s="65"/>
      <c r="D110" s="65"/>
      <c r="AQ110" s="72">
        <v>7</v>
      </c>
      <c r="AR110" s="72" t="str">
        <f t="shared" si="66"/>
        <v>EspañolDominican Republic</v>
      </c>
      <c r="AS110" s="72" t="str">
        <f t="shared" si="67"/>
        <v>República Dominicana</v>
      </c>
      <c r="AT110" s="72"/>
      <c r="AU110" s="72"/>
      <c r="BL110" s="81" t="s">
        <v>289</v>
      </c>
      <c r="BM110" s="101" t="e">
        <f>BO32</f>
        <v>#N/A</v>
      </c>
      <c r="BN110" s="72" t="e">
        <f>OR(ISERROR(BM106),ISERROR(BM110),BM110=0,ISERROR(BM112),BM112=0,ISERROR(BM115))</f>
        <v>#N/A</v>
      </c>
      <c r="BO110" s="72" t="s">
        <v>276</v>
      </c>
    </row>
    <row r="111" spans="2:138" x14ac:dyDescent="0.3">
      <c r="AQ111" s="72">
        <v>8</v>
      </c>
      <c r="AR111" s="72" t="str">
        <f t="shared" si="66"/>
        <v>EspañolNicaragua</v>
      </c>
      <c r="AS111" s="72" t="str">
        <f t="shared" si="67"/>
        <v>Nicaragua</v>
      </c>
      <c r="AT111" s="72"/>
      <c r="AU111" s="72"/>
    </row>
    <row r="112" spans="2:138" x14ac:dyDescent="0.3">
      <c r="AQ112" s="72">
        <v>9</v>
      </c>
      <c r="AR112" s="72" t="str">
        <f t="shared" si="66"/>
        <v>EspañolCameroon</v>
      </c>
      <c r="AS112" s="72" t="str">
        <f t="shared" si="67"/>
        <v>Camerún</v>
      </c>
      <c r="AT112" s="72"/>
      <c r="AU112" s="72"/>
      <c r="BL112" s="81" t="s">
        <v>288</v>
      </c>
      <c r="BM112" s="72">
        <f>COUNT(BS112,BS113,BS114,BS115,BS116)</f>
        <v>0</v>
      </c>
      <c r="BN112" s="72" t="b">
        <f>OR(ISERROR(BM112),BM112=0)</f>
        <v>1</v>
      </c>
      <c r="BO112" s="72" t="s">
        <v>287</v>
      </c>
      <c r="BS112" s="72" t="e">
        <f>MATCH(C10,BM35:BU35,0)</f>
        <v>#N/A</v>
      </c>
      <c r="EH112" s="102"/>
    </row>
    <row r="113" spans="43:138" x14ac:dyDescent="0.3">
      <c r="AQ113" s="72">
        <v>1</v>
      </c>
      <c r="AR113" s="74" t="str">
        <f t="shared" ref="AR113:AR121" si="69">BA50&amp;AZ32</f>
        <v>EspañolPanama</v>
      </c>
      <c r="AS113" s="72" t="str">
        <f t="shared" ref="AS113:AS130" si="70">AS104</f>
        <v>Panamá</v>
      </c>
      <c r="AT113" s="74" t="s">
        <v>106</v>
      </c>
      <c r="AU113" s="72" t="s">
        <v>104</v>
      </c>
      <c r="BM113" s="72">
        <f>COUNT(BS112:BS116)</f>
        <v>0</v>
      </c>
      <c r="BS113" s="72" t="e">
        <f>MATCH(C10,BM36:BU36,0)</f>
        <v>#N/A</v>
      </c>
      <c r="EH113" s="102"/>
    </row>
    <row r="114" spans="43:138" x14ac:dyDescent="0.3">
      <c r="AQ114" s="72">
        <v>2</v>
      </c>
      <c r="AR114" s="72" t="str">
        <f t="shared" si="69"/>
        <v>EspañolPérou</v>
      </c>
      <c r="AS114" s="72" t="str">
        <f t="shared" si="70"/>
        <v>Perú</v>
      </c>
      <c r="AT114" s="72"/>
      <c r="AU114" s="72"/>
      <c r="BS114" s="72" t="e">
        <f>MATCH(C10,BM37:BU37,0)</f>
        <v>#N/A</v>
      </c>
      <c r="CA114" s="72" t="str">
        <f>C8&amp;BJ21&amp;C10</f>
        <v>org</v>
      </c>
      <c r="CB114" s="72">
        <f>IF(ISERROR(VLOOKUP(CA114,$CA$73:$CD$108,2,FALSE)),"",VLOOKUP(CA114,$CA$73:$CD$108,2,FALSE))</f>
        <v>1.7</v>
      </c>
      <c r="CC114" s="72" t="str">
        <f>IF(VLOOKUP(CA114,$CA$73:$CD$108,3,FALSE)=0,"",
IF(ISERROR(VLOOKUP(CA114,$CA$73:$CD$108,3,FALSE)),"",
VLOOKUP(CA114,$CA$73:$CD$108,3,FALSE)))</f>
        <v/>
      </c>
      <c r="CD114" s="72" t="str">
        <f>IF(VLOOKUP(CA114,$CA$73:$CD$108,4,FALSE)=0,"",
IF(ISERROR(VLOOKUP(CA114,$CA$73:$CD$108,4,FALSE)),"",
VLOOKUP(CA114,$CA$73:$CD$108,4,FALSE)))</f>
        <v/>
      </c>
      <c r="EH114" s="102"/>
    </row>
    <row r="115" spans="43:138" x14ac:dyDescent="0.3">
      <c r="AQ115" s="72">
        <v>3</v>
      </c>
      <c r="AR115" s="72" t="str">
        <f t="shared" si="69"/>
        <v>EspañolColombie</v>
      </c>
      <c r="AS115" s="72" t="str">
        <f t="shared" si="70"/>
        <v>Colombia</v>
      </c>
      <c r="AT115" s="72"/>
      <c r="AU115" s="72"/>
      <c r="BL115" s="81" t="s">
        <v>285</v>
      </c>
      <c r="BM115" s="72" t="e">
        <f>VLOOKUP(C10,_xlfn.ANCHORARRAY(BL35),1,FALSE)</f>
        <v>#N/A</v>
      </c>
      <c r="BN115" s="72" t="b">
        <f>ISERROR(BM115)</f>
        <v>1</v>
      </c>
      <c r="BO115" s="72" t="s">
        <v>286</v>
      </c>
      <c r="BS115" s="72" t="e">
        <f>MATCH(C10,BM38:BU38,0)</f>
        <v>#N/A</v>
      </c>
      <c r="EH115" s="102"/>
    </row>
    <row r="116" spans="43:138" x14ac:dyDescent="0.3">
      <c r="AQ116" s="72">
        <v>4</v>
      </c>
      <c r="AR116" s="72" t="str">
        <f t="shared" si="69"/>
        <v>EspañolÉquateur</v>
      </c>
      <c r="AS116" s="72" t="str">
        <f t="shared" si="70"/>
        <v>Ecuador</v>
      </c>
      <c r="AT116" s="72"/>
      <c r="AU116" s="72"/>
      <c r="BS116" s="72" t="e">
        <f>MATCH(C10,BM39:BU39,0)</f>
        <v>#N/A</v>
      </c>
      <c r="EH116" s="102"/>
    </row>
    <row r="117" spans="43:138" x14ac:dyDescent="0.3">
      <c r="AQ117" s="72">
        <v>5</v>
      </c>
      <c r="AR117" s="72" t="str">
        <f t="shared" si="69"/>
        <v>EspañolCôte d'Ivoire</v>
      </c>
      <c r="AS117" s="72" t="str">
        <f t="shared" si="70"/>
        <v>Costa de Marfil</v>
      </c>
      <c r="AT117" s="72"/>
      <c r="AU117" s="72"/>
      <c r="BL117" s="81" t="s">
        <v>314</v>
      </c>
      <c r="BN117" s="94" t="b">
        <f>B12&lt;&gt;""</f>
        <v>0</v>
      </c>
      <c r="BO117" s="72" t="s">
        <v>309</v>
      </c>
      <c r="EH117" s="102"/>
    </row>
    <row r="118" spans="43:138" x14ac:dyDescent="0.3">
      <c r="AQ118" s="72">
        <v>6</v>
      </c>
      <c r="AR118" s="72" t="str">
        <f t="shared" si="69"/>
        <v>EspañolGhana</v>
      </c>
      <c r="AS118" s="72" t="str">
        <f t="shared" si="70"/>
        <v>Gana</v>
      </c>
      <c r="AT118" s="72"/>
      <c r="AU118" s="72"/>
      <c r="BJ118" s="71"/>
      <c r="BK118" s="71"/>
      <c r="BL118" s="71"/>
      <c r="BM118" s="71"/>
      <c r="BN118" s="71"/>
      <c r="BO118" s="71"/>
      <c r="BP118" s="71"/>
      <c r="BQ118" s="71"/>
      <c r="BR118" s="71"/>
      <c r="BS118" s="71"/>
      <c r="EH118" s="102"/>
    </row>
    <row r="119" spans="43:138" x14ac:dyDescent="0.3">
      <c r="AQ119" s="72">
        <v>7</v>
      </c>
      <c r="AR119" s="72" t="str">
        <f t="shared" si="69"/>
        <v>EspañolRépublique dominicaine</v>
      </c>
      <c r="AS119" s="72" t="str">
        <f t="shared" si="70"/>
        <v>República Dominicana</v>
      </c>
      <c r="AT119" s="72"/>
      <c r="AU119" s="72"/>
      <c r="EH119" s="102"/>
    </row>
    <row r="120" spans="43:138" x14ac:dyDescent="0.3">
      <c r="AQ120" s="72">
        <v>8</v>
      </c>
      <c r="AR120" s="72" t="str">
        <f t="shared" si="69"/>
        <v>EspañolNicaragua</v>
      </c>
      <c r="AS120" s="72" t="str">
        <f t="shared" si="70"/>
        <v>Nicaragua</v>
      </c>
      <c r="AT120" s="72"/>
      <c r="AU120" s="72"/>
      <c r="BL120" s="72" t="str">
        <f>"DE LA TABLA DE PRECIOS MÍNIMOS VÁLIDOS PARA EL"&amp;BK4</f>
        <v>DE LA TABLA DE PRECIOS MÍNIMOS VÁLIDOS PARA EL2026</v>
      </c>
      <c r="EH120" s="102"/>
    </row>
    <row r="121" spans="43:138" x14ac:dyDescent="0.3">
      <c r="AQ121" s="72">
        <v>9</v>
      </c>
      <c r="AR121" s="72" t="str">
        <f t="shared" si="69"/>
        <v>EspañolCameroun</v>
      </c>
      <c r="AS121" s="72" t="str">
        <f t="shared" si="70"/>
        <v>Camerún</v>
      </c>
      <c r="AT121" s="72"/>
      <c r="AU121" s="72"/>
      <c r="BL121" s="71" t="s">
        <v>201</v>
      </c>
      <c r="BM121" s="71" t="s">
        <v>125</v>
      </c>
      <c r="BN121" s="71"/>
      <c r="BO121" s="71"/>
      <c r="BP121" s="71">
        <f>BK4</f>
        <v>2026</v>
      </c>
      <c r="BQ121" s="71"/>
      <c r="BR121" s="71"/>
      <c r="EH121" s="102"/>
    </row>
    <row r="122" spans="43:138" x14ac:dyDescent="0.3">
      <c r="AQ122" s="72">
        <v>1</v>
      </c>
      <c r="AR122" s="74" t="str">
        <f>BA50&amp;AZ41</f>
        <v>EspañolPanamá</v>
      </c>
      <c r="AS122" s="72" t="str">
        <f t="shared" si="70"/>
        <v>Panamá</v>
      </c>
      <c r="AT122" s="74" t="s">
        <v>107</v>
      </c>
      <c r="AU122" s="72" t="s">
        <v>104</v>
      </c>
      <c r="BL122" s="71">
        <v>0</v>
      </c>
      <c r="BM122" s="71">
        <v>0</v>
      </c>
      <c r="BN122" s="71"/>
      <c r="BO122" s="71"/>
      <c r="BP122" s="71"/>
      <c r="BQ122" s="71"/>
      <c r="BR122" s="71"/>
      <c r="EH122" s="102"/>
    </row>
    <row r="123" spans="43:138" x14ac:dyDescent="0.3">
      <c r="AQ123" s="72">
        <v>2</v>
      </c>
      <c r="AR123" s="72" t="str">
        <f>BA51&amp;AZ42</f>
        <v>EspañolPeru</v>
      </c>
      <c r="AS123" s="72" t="str">
        <f t="shared" si="70"/>
        <v>Perú</v>
      </c>
      <c r="AT123" s="72"/>
      <c r="AU123" s="72"/>
      <c r="BL123" s="71">
        <v>0</v>
      </c>
      <c r="BM123" s="71" t="s">
        <v>202</v>
      </c>
      <c r="BN123" s="71"/>
      <c r="BO123" s="71"/>
      <c r="BP123" s="71"/>
      <c r="BQ123" s="71"/>
      <c r="BR123" s="71"/>
      <c r="EH123" s="102"/>
    </row>
    <row r="124" spans="43:138" x14ac:dyDescent="0.3">
      <c r="AQ124" s="72">
        <v>3</v>
      </c>
      <c r="AR124" s="72" t="str">
        <f>BA52&amp;AZ43</f>
        <v>EspañolColômbia</v>
      </c>
      <c r="AS124" s="72" t="str">
        <f t="shared" si="70"/>
        <v>Colombia</v>
      </c>
      <c r="BL124" s="71" t="s">
        <v>203</v>
      </c>
      <c r="BM124" s="71" t="s">
        <v>186</v>
      </c>
      <c r="BN124" s="71" t="s">
        <v>204</v>
      </c>
      <c r="BO124" s="71"/>
      <c r="BP124" s="102">
        <v>10.9</v>
      </c>
      <c r="BQ124" s="71"/>
      <c r="BR124" s="71"/>
      <c r="EH124" s="102"/>
    </row>
    <row r="125" spans="43:138" x14ac:dyDescent="0.3">
      <c r="AQ125" s="72">
        <v>4</v>
      </c>
      <c r="AR125" s="72" t="str">
        <f>BA53&amp;AZ44</f>
        <v>EspañolEquador</v>
      </c>
      <c r="AS125" s="72" t="str">
        <f t="shared" si="70"/>
        <v>Ecuador</v>
      </c>
      <c r="BL125" s="71" t="s">
        <v>205</v>
      </c>
      <c r="BM125" s="71" t="s">
        <v>185</v>
      </c>
      <c r="BN125" s="71" t="s">
        <v>206</v>
      </c>
      <c r="BO125" s="71"/>
      <c r="BP125" s="102">
        <v>11.65</v>
      </c>
      <c r="BQ125" s="71"/>
      <c r="BR125" s="71"/>
      <c r="EH125" s="102"/>
    </row>
    <row r="126" spans="43:138" x14ac:dyDescent="0.3">
      <c r="AQ126" s="72">
        <v>5</v>
      </c>
      <c r="AR126" s="72" t="str">
        <f t="shared" ref="AR126:AR130" si="71">BA54&amp;AZ45</f>
        <v>EspañolCosta do Marfim</v>
      </c>
      <c r="AS126" s="72" t="str">
        <f t="shared" si="70"/>
        <v>Costa de Marfil</v>
      </c>
      <c r="BL126" s="71" t="s">
        <v>207</v>
      </c>
      <c r="BM126" s="71" t="s">
        <v>184</v>
      </c>
      <c r="BN126" s="71" t="s">
        <v>204</v>
      </c>
      <c r="BO126" s="71"/>
      <c r="BP126" s="102">
        <v>12.2</v>
      </c>
      <c r="BQ126" s="71"/>
      <c r="BR126" s="71"/>
      <c r="EH126" s="102"/>
    </row>
    <row r="127" spans="43:138" x14ac:dyDescent="0.3">
      <c r="AQ127" s="72">
        <v>6</v>
      </c>
      <c r="AR127" s="72" t="str">
        <f t="shared" si="71"/>
        <v>EspañolGana</v>
      </c>
      <c r="AS127" s="72" t="str">
        <f t="shared" si="70"/>
        <v>Gana</v>
      </c>
      <c r="BL127" s="71" t="s">
        <v>208</v>
      </c>
      <c r="BM127" s="71" t="s">
        <v>209</v>
      </c>
      <c r="BN127" s="71" t="s">
        <v>204</v>
      </c>
      <c r="BO127" s="71"/>
      <c r="BP127" s="102">
        <v>12.25</v>
      </c>
      <c r="BQ127" s="71"/>
      <c r="BR127" s="71"/>
      <c r="EH127" s="102"/>
    </row>
    <row r="128" spans="43:138" x14ac:dyDescent="0.3">
      <c r="AQ128" s="72">
        <v>7</v>
      </c>
      <c r="AR128" s="72" t="str">
        <f t="shared" si="71"/>
        <v>EspañolRepública Dominicana</v>
      </c>
      <c r="AS128" s="72" t="str">
        <f t="shared" si="70"/>
        <v>República Dominicana</v>
      </c>
      <c r="BL128" s="71" t="s">
        <v>210</v>
      </c>
      <c r="BM128" s="71" t="s">
        <v>182</v>
      </c>
      <c r="BN128" s="71" t="s">
        <v>204</v>
      </c>
      <c r="BO128" s="71"/>
      <c r="BP128" s="102">
        <v>10.75</v>
      </c>
      <c r="BQ128" s="71"/>
      <c r="BR128" s="71"/>
      <c r="EH128" s="102"/>
    </row>
    <row r="129" spans="43:138" x14ac:dyDescent="0.3">
      <c r="AQ129" s="72">
        <v>8</v>
      </c>
      <c r="AR129" s="72" t="str">
        <f t="shared" si="71"/>
        <v>EspañolNicarágua</v>
      </c>
      <c r="AS129" s="72" t="str">
        <f t="shared" si="70"/>
        <v>Nicaragua</v>
      </c>
      <c r="BL129" s="71" t="s">
        <v>211</v>
      </c>
      <c r="BM129" s="71" t="s">
        <v>183</v>
      </c>
      <c r="BN129" s="71" t="s">
        <v>204</v>
      </c>
      <c r="BO129" s="71"/>
      <c r="BP129" s="102">
        <v>10.65</v>
      </c>
      <c r="BQ129" s="71"/>
      <c r="BR129" s="71"/>
      <c r="EH129" s="102"/>
    </row>
    <row r="130" spans="43:138" x14ac:dyDescent="0.3">
      <c r="AQ130" s="72">
        <v>9</v>
      </c>
      <c r="AR130" s="72" t="str">
        <f t="shared" si="71"/>
        <v>EspañolCamarões</v>
      </c>
      <c r="AS130" s="72" t="str">
        <f t="shared" si="70"/>
        <v>Camerún</v>
      </c>
      <c r="BL130" s="71" t="s">
        <v>212</v>
      </c>
      <c r="BM130" s="71" t="s">
        <v>181</v>
      </c>
      <c r="BN130" s="71" t="s">
        <v>204</v>
      </c>
      <c r="BO130" s="71"/>
      <c r="BP130" s="102">
        <v>10.15</v>
      </c>
      <c r="BQ130" s="71"/>
      <c r="BR130" s="71"/>
      <c r="EH130" s="102"/>
    </row>
    <row r="131" spans="43:138" x14ac:dyDescent="0.3">
      <c r="BL131" s="71" t="s">
        <v>213</v>
      </c>
      <c r="BM131" s="71" t="s">
        <v>214</v>
      </c>
      <c r="BN131" s="71" t="s">
        <v>204</v>
      </c>
      <c r="BO131" s="71"/>
      <c r="BP131" s="102">
        <v>10.5</v>
      </c>
      <c r="BQ131" s="71"/>
      <c r="BR131" s="71"/>
      <c r="EH131" s="102"/>
    </row>
    <row r="132" spans="43:138" x14ac:dyDescent="0.3">
      <c r="BL132" s="71">
        <v>0</v>
      </c>
      <c r="BM132" s="71" t="s">
        <v>215</v>
      </c>
      <c r="BN132" s="71">
        <v>0</v>
      </c>
      <c r="BO132" s="71"/>
      <c r="BP132" s="102"/>
      <c r="BQ132" s="71"/>
      <c r="BR132" s="71"/>
    </row>
    <row r="133" spans="43:138" x14ac:dyDescent="0.3">
      <c r="BL133" s="71" t="s">
        <v>216</v>
      </c>
      <c r="BM133" s="71" t="s">
        <v>188</v>
      </c>
      <c r="BN133" s="71" t="s">
        <v>206</v>
      </c>
      <c r="BO133" s="71"/>
      <c r="BP133" s="102">
        <v>8.5500000000000007</v>
      </c>
      <c r="BQ133" s="71"/>
      <c r="BR133" s="71"/>
    </row>
    <row r="134" spans="43:138" x14ac:dyDescent="0.3">
      <c r="BL134" s="71" t="s">
        <v>217</v>
      </c>
      <c r="BM134" s="71" t="s">
        <v>186</v>
      </c>
      <c r="BN134" s="71" t="s">
        <v>204</v>
      </c>
      <c r="BO134" s="71"/>
      <c r="BP134" s="102">
        <v>8.4</v>
      </c>
      <c r="BQ134" s="71"/>
      <c r="BR134" s="71"/>
    </row>
    <row r="135" spans="43:138" x14ac:dyDescent="0.3">
      <c r="BL135" s="71" t="s">
        <v>218</v>
      </c>
      <c r="BM135" s="71" t="s">
        <v>185</v>
      </c>
      <c r="BN135" s="71" t="s">
        <v>206</v>
      </c>
      <c r="BO135" s="71"/>
      <c r="BP135" s="102">
        <v>8.85</v>
      </c>
      <c r="BQ135" s="71"/>
      <c r="BR135" s="71"/>
    </row>
    <row r="136" spans="43:138" x14ac:dyDescent="0.3">
      <c r="BL136" s="71" t="s">
        <v>219</v>
      </c>
      <c r="BM136" s="71" t="s">
        <v>184</v>
      </c>
      <c r="BN136" s="71" t="s">
        <v>204</v>
      </c>
      <c r="BO136" s="71"/>
      <c r="BP136" s="102">
        <v>10.1</v>
      </c>
      <c r="BQ136" s="71"/>
      <c r="BR136" s="71"/>
    </row>
    <row r="137" spans="43:138" x14ac:dyDescent="0.3">
      <c r="BL137" s="71" t="s">
        <v>220</v>
      </c>
      <c r="BM137" s="71" t="s">
        <v>209</v>
      </c>
      <c r="BN137" s="71" t="s">
        <v>204</v>
      </c>
      <c r="BO137" s="71"/>
      <c r="BP137" s="102">
        <v>9.7000000000000011</v>
      </c>
      <c r="BQ137" s="71"/>
      <c r="BR137" s="71"/>
    </row>
    <row r="138" spans="43:138" x14ac:dyDescent="0.3">
      <c r="BL138" s="71" t="s">
        <v>221</v>
      </c>
      <c r="BM138" s="71" t="s">
        <v>182</v>
      </c>
      <c r="BN138" s="71" t="s">
        <v>204</v>
      </c>
      <c r="BO138" s="71"/>
      <c r="BP138" s="102">
        <v>8.6999999999999993</v>
      </c>
      <c r="BQ138" s="71"/>
      <c r="BR138" s="71"/>
    </row>
    <row r="139" spans="43:138" x14ac:dyDescent="0.3">
      <c r="BL139" s="71" t="s">
        <v>222</v>
      </c>
      <c r="BM139" s="71" t="s">
        <v>223</v>
      </c>
      <c r="BN139" s="71" t="s">
        <v>204</v>
      </c>
      <c r="BO139" s="71"/>
      <c r="BP139" s="102"/>
      <c r="BQ139" s="71"/>
      <c r="BR139" s="71"/>
    </row>
    <row r="140" spans="43:138" x14ac:dyDescent="0.3">
      <c r="BL140" s="71" t="s">
        <v>224</v>
      </c>
      <c r="BM140" s="71" t="s">
        <v>183</v>
      </c>
      <c r="BN140" s="71" t="s">
        <v>204</v>
      </c>
      <c r="BO140" s="71"/>
      <c r="BP140" s="102">
        <v>7.85</v>
      </c>
      <c r="BQ140" s="71"/>
      <c r="BR140" s="71"/>
    </row>
    <row r="141" spans="43:138" x14ac:dyDescent="0.3">
      <c r="BL141" s="71" t="s">
        <v>225</v>
      </c>
      <c r="BM141" s="71" t="s">
        <v>187</v>
      </c>
      <c r="BN141" s="71" t="s">
        <v>204</v>
      </c>
      <c r="BO141" s="71"/>
      <c r="BP141" s="102">
        <v>7.7</v>
      </c>
      <c r="BQ141" s="71"/>
      <c r="BR141" s="71"/>
    </row>
    <row r="142" spans="43:138" x14ac:dyDescent="0.3">
      <c r="BL142" s="71" t="s">
        <v>226</v>
      </c>
      <c r="BM142" s="71" t="s">
        <v>180</v>
      </c>
      <c r="BN142" s="71" t="s">
        <v>204</v>
      </c>
      <c r="BO142" s="71"/>
      <c r="BP142" s="102">
        <v>8.25</v>
      </c>
      <c r="BQ142" s="71"/>
      <c r="BR142" s="71"/>
    </row>
    <row r="143" spans="43:138" x14ac:dyDescent="0.3">
      <c r="BL143" s="71" t="s">
        <v>227</v>
      </c>
      <c r="BM143" s="71" t="s">
        <v>214</v>
      </c>
      <c r="BN143" s="71" t="s">
        <v>204</v>
      </c>
      <c r="BO143" s="71"/>
      <c r="BP143" s="102">
        <v>8.15</v>
      </c>
      <c r="BQ143" s="71"/>
      <c r="BR143" s="71"/>
    </row>
    <row r="144" spans="43:138" x14ac:dyDescent="0.3">
      <c r="BL144" s="71">
        <v>0</v>
      </c>
      <c r="BM144" s="71">
        <v>0</v>
      </c>
      <c r="BN144" s="71">
        <v>0</v>
      </c>
      <c r="BO144" s="71"/>
      <c r="BP144" s="102"/>
      <c r="BQ144" s="71"/>
      <c r="BR144" s="71"/>
    </row>
    <row r="145" spans="64:70" x14ac:dyDescent="0.3">
      <c r="BL145" s="71">
        <v>0</v>
      </c>
      <c r="BM145" s="71">
        <v>0</v>
      </c>
      <c r="BN145" s="71">
        <v>0</v>
      </c>
      <c r="BO145" s="71"/>
      <c r="BP145" s="102"/>
      <c r="BQ145" s="71"/>
      <c r="BR145" s="71"/>
    </row>
    <row r="146" spans="64:70" x14ac:dyDescent="0.3">
      <c r="BL146" s="71" t="s">
        <v>228</v>
      </c>
      <c r="BM146" s="71" t="s">
        <v>2</v>
      </c>
      <c r="BN146" s="71">
        <v>0</v>
      </c>
      <c r="BO146" s="71"/>
      <c r="BP146" s="102"/>
      <c r="BQ146" s="71"/>
      <c r="BR146" s="71"/>
    </row>
    <row r="147" spans="64:70" x14ac:dyDescent="0.3">
      <c r="BL147" s="71">
        <v>0</v>
      </c>
      <c r="BM147" s="71">
        <v>0</v>
      </c>
      <c r="BN147" s="71">
        <v>0</v>
      </c>
      <c r="BO147" s="71"/>
      <c r="BP147" s="102"/>
      <c r="BQ147" s="71"/>
      <c r="BR147" s="71"/>
    </row>
    <row r="148" spans="64:70" x14ac:dyDescent="0.3">
      <c r="BL148" s="71">
        <v>0</v>
      </c>
      <c r="BM148" s="71" t="s">
        <v>202</v>
      </c>
      <c r="BN148" s="71">
        <v>0</v>
      </c>
      <c r="BO148" s="71"/>
      <c r="BP148" s="102"/>
      <c r="BQ148" s="71"/>
      <c r="BR148" s="71"/>
    </row>
    <row r="149" spans="64:70" x14ac:dyDescent="0.3">
      <c r="BL149" s="71" t="s">
        <v>229</v>
      </c>
      <c r="BM149" s="71" t="s">
        <v>186</v>
      </c>
      <c r="BN149" s="71" t="s">
        <v>204</v>
      </c>
      <c r="BO149" s="102">
        <v>4.8</v>
      </c>
      <c r="BP149" s="102">
        <v>15.7</v>
      </c>
      <c r="BQ149" s="71" t="s">
        <v>112</v>
      </c>
      <c r="BR149" s="71"/>
    </row>
    <row r="150" spans="64:70" x14ac:dyDescent="0.3">
      <c r="BL150" s="71" t="s">
        <v>230</v>
      </c>
      <c r="BM150" s="71" t="s">
        <v>186</v>
      </c>
      <c r="BN150" s="71" t="s">
        <v>204</v>
      </c>
      <c r="BO150" s="102">
        <v>4.8</v>
      </c>
      <c r="BP150" s="102">
        <v>15.7</v>
      </c>
      <c r="BQ150" s="71" t="s">
        <v>116</v>
      </c>
      <c r="BR150" s="71"/>
    </row>
    <row r="151" spans="64:70" x14ac:dyDescent="0.3">
      <c r="BL151" s="71" t="s">
        <v>231</v>
      </c>
      <c r="BM151" s="71" t="s">
        <v>185</v>
      </c>
      <c r="BN151" s="71" t="s">
        <v>206</v>
      </c>
      <c r="BO151" s="102">
        <v>2.7</v>
      </c>
      <c r="BP151" s="102">
        <v>14.350000000000001</v>
      </c>
      <c r="BQ151" s="71" t="s">
        <v>111</v>
      </c>
      <c r="BR151" s="71"/>
    </row>
    <row r="152" spans="64:70" x14ac:dyDescent="0.3">
      <c r="BL152" s="71" t="s">
        <v>232</v>
      </c>
      <c r="BM152" s="71" t="s">
        <v>184</v>
      </c>
      <c r="BN152" s="71" t="s">
        <v>204</v>
      </c>
      <c r="BO152" s="102">
        <v>3.6500000000000004</v>
      </c>
      <c r="BP152" s="102">
        <v>15.85</v>
      </c>
      <c r="BQ152" s="71" t="s">
        <v>174</v>
      </c>
      <c r="BR152" s="71"/>
    </row>
    <row r="153" spans="64:70" x14ac:dyDescent="0.3">
      <c r="BL153" s="71" t="s">
        <v>233</v>
      </c>
      <c r="BM153" s="71" t="s">
        <v>209</v>
      </c>
      <c r="BN153" s="71" t="s">
        <v>204</v>
      </c>
      <c r="BO153" s="102">
        <v>4.0999999999999996</v>
      </c>
      <c r="BP153" s="102">
        <v>16.350000000000001</v>
      </c>
      <c r="BQ153" s="71">
        <v>0</v>
      </c>
      <c r="BR153" s="71"/>
    </row>
    <row r="154" spans="64:70" x14ac:dyDescent="0.3">
      <c r="BL154" s="71" t="s">
        <v>234</v>
      </c>
      <c r="BM154" s="71" t="s">
        <v>182</v>
      </c>
      <c r="BN154" s="71" t="s">
        <v>204</v>
      </c>
      <c r="BO154" s="102">
        <v>3.9</v>
      </c>
      <c r="BP154" s="102">
        <v>14.65</v>
      </c>
      <c r="BQ154" s="71" t="s">
        <v>175</v>
      </c>
      <c r="BR154" s="71"/>
    </row>
    <row r="155" spans="64:70" x14ac:dyDescent="0.3">
      <c r="BL155" s="71" t="s">
        <v>235</v>
      </c>
      <c r="BM155" s="71" t="s">
        <v>183</v>
      </c>
      <c r="BN155" s="71" t="s">
        <v>204</v>
      </c>
      <c r="BO155" s="102">
        <v>4</v>
      </c>
      <c r="BP155" s="102">
        <v>14.65</v>
      </c>
      <c r="BQ155" s="71" t="s">
        <v>110</v>
      </c>
      <c r="BR155" s="71"/>
    </row>
    <row r="156" spans="64:70" x14ac:dyDescent="0.3">
      <c r="BL156" s="71" t="s">
        <v>236</v>
      </c>
      <c r="BM156" s="71" t="s">
        <v>183</v>
      </c>
      <c r="BN156" s="71" t="s">
        <v>204</v>
      </c>
      <c r="BO156" s="102">
        <v>4.3499999999999996</v>
      </c>
      <c r="BP156" s="102">
        <v>15</v>
      </c>
      <c r="BQ156" s="71" t="s">
        <v>150</v>
      </c>
      <c r="BR156" s="71"/>
    </row>
    <row r="157" spans="64:70" x14ac:dyDescent="0.3">
      <c r="BL157" s="71" t="s">
        <v>237</v>
      </c>
      <c r="BM157" s="71" t="s">
        <v>183</v>
      </c>
      <c r="BN157" s="71" t="s">
        <v>204</v>
      </c>
      <c r="BO157" s="102">
        <v>4.0999999999999996</v>
      </c>
      <c r="BP157" s="102">
        <v>14.75</v>
      </c>
      <c r="BQ157" s="71" t="s">
        <v>176</v>
      </c>
      <c r="BR157" s="71"/>
    </row>
    <row r="158" spans="64:70" x14ac:dyDescent="0.3">
      <c r="BL158" s="71" t="s">
        <v>238</v>
      </c>
      <c r="BM158" s="71" t="s">
        <v>183</v>
      </c>
      <c r="BN158" s="71" t="s">
        <v>204</v>
      </c>
      <c r="BO158" s="102">
        <v>4.0999999999999996</v>
      </c>
      <c r="BP158" s="102">
        <v>14.75</v>
      </c>
      <c r="BQ158" s="71" t="s">
        <v>177</v>
      </c>
      <c r="BR158" s="71"/>
    </row>
    <row r="159" spans="64:70" x14ac:dyDescent="0.3">
      <c r="BL159" s="71" t="s">
        <v>239</v>
      </c>
      <c r="BM159" s="71" t="s">
        <v>183</v>
      </c>
      <c r="BN159" s="71" t="s">
        <v>204</v>
      </c>
      <c r="BO159" s="102">
        <v>4.3000000000000007</v>
      </c>
      <c r="BP159" s="102">
        <v>14.950000000000001</v>
      </c>
      <c r="BQ159" s="71" t="s">
        <v>178</v>
      </c>
      <c r="BR159" s="71"/>
    </row>
    <row r="160" spans="64:70" x14ac:dyDescent="0.3">
      <c r="BL160" s="71" t="s">
        <v>240</v>
      </c>
      <c r="BM160" s="71" t="s">
        <v>181</v>
      </c>
      <c r="BN160" s="71" t="s">
        <v>204</v>
      </c>
      <c r="BO160" s="102">
        <v>4.4000000000000004</v>
      </c>
      <c r="BP160" s="102">
        <v>14.55</v>
      </c>
      <c r="BQ160" s="71" t="s">
        <v>109</v>
      </c>
      <c r="BR160" s="71"/>
    </row>
    <row r="161" spans="64:70" x14ac:dyDescent="0.3">
      <c r="BL161" s="71" t="s">
        <v>241</v>
      </c>
      <c r="BM161" s="71" t="s">
        <v>214</v>
      </c>
      <c r="BN161" s="71" t="s">
        <v>204</v>
      </c>
      <c r="BO161" s="102">
        <v>4.1499999999999995</v>
      </c>
      <c r="BP161" s="102">
        <v>14.649999999999999</v>
      </c>
      <c r="BQ161" s="71">
        <v>0</v>
      </c>
      <c r="BR161" s="71"/>
    </row>
    <row r="162" spans="64:70" x14ac:dyDescent="0.3">
      <c r="BL162" s="71">
        <v>0</v>
      </c>
      <c r="BM162" s="71" t="s">
        <v>215</v>
      </c>
      <c r="BN162" s="71">
        <v>0</v>
      </c>
      <c r="BO162" s="102"/>
      <c r="BP162" s="102"/>
      <c r="BQ162" s="71">
        <v>0</v>
      </c>
      <c r="BR162" s="71"/>
    </row>
    <row r="163" spans="64:70" x14ac:dyDescent="0.3">
      <c r="BL163" s="71" t="s">
        <v>242</v>
      </c>
      <c r="BM163" s="71" t="s">
        <v>188</v>
      </c>
      <c r="BN163" s="71" t="s">
        <v>206</v>
      </c>
      <c r="BO163" s="102">
        <v>2.5499999999999998</v>
      </c>
      <c r="BP163" s="102">
        <v>11.100000000000001</v>
      </c>
      <c r="BQ163" s="71" t="s">
        <v>114</v>
      </c>
      <c r="BR163" s="71"/>
    </row>
    <row r="164" spans="64:70" x14ac:dyDescent="0.3">
      <c r="BL164" s="71" t="s">
        <v>243</v>
      </c>
      <c r="BM164" s="71" t="s">
        <v>188</v>
      </c>
      <c r="BN164" s="71" t="s">
        <v>206</v>
      </c>
      <c r="BO164" s="102"/>
      <c r="BP164" s="102"/>
      <c r="BQ164" s="71">
        <v>0</v>
      </c>
      <c r="BR164" s="71"/>
    </row>
    <row r="165" spans="64:70" x14ac:dyDescent="0.3">
      <c r="BL165" s="71" t="s">
        <v>244</v>
      </c>
      <c r="BM165" s="71" t="s">
        <v>186</v>
      </c>
      <c r="BN165" s="71" t="s">
        <v>204</v>
      </c>
      <c r="BO165" s="102">
        <v>4.7</v>
      </c>
      <c r="BP165" s="102">
        <v>13.100000000000001</v>
      </c>
      <c r="BQ165" s="71" t="s">
        <v>112</v>
      </c>
      <c r="BR165" s="71"/>
    </row>
    <row r="166" spans="64:70" x14ac:dyDescent="0.3">
      <c r="BL166" s="71" t="s">
        <v>245</v>
      </c>
      <c r="BM166" s="71" t="s">
        <v>186</v>
      </c>
      <c r="BN166" s="71" t="s">
        <v>204</v>
      </c>
      <c r="BO166" s="102">
        <v>4.7</v>
      </c>
      <c r="BP166" s="102">
        <v>13.100000000000001</v>
      </c>
      <c r="BQ166" s="71" t="s">
        <v>116</v>
      </c>
      <c r="BR166" s="71"/>
    </row>
    <row r="167" spans="64:70" x14ac:dyDescent="0.3">
      <c r="BL167" s="71" t="s">
        <v>246</v>
      </c>
      <c r="BM167" s="71" t="s">
        <v>185</v>
      </c>
      <c r="BN167" s="71" t="s">
        <v>206</v>
      </c>
      <c r="BO167" s="102">
        <v>2.65</v>
      </c>
      <c r="BP167" s="102">
        <v>11.5</v>
      </c>
      <c r="BQ167" s="71" t="s">
        <v>111</v>
      </c>
      <c r="BR167" s="71"/>
    </row>
    <row r="168" spans="64:70" x14ac:dyDescent="0.3">
      <c r="BL168" s="71" t="s">
        <v>247</v>
      </c>
      <c r="BM168" s="71" t="s">
        <v>184</v>
      </c>
      <c r="BN168" s="71" t="s">
        <v>204</v>
      </c>
      <c r="BO168" s="102">
        <v>3.5500000000000003</v>
      </c>
      <c r="BP168" s="102">
        <v>13.65</v>
      </c>
      <c r="BQ168" s="71" t="s">
        <v>174</v>
      </c>
      <c r="BR168" s="71"/>
    </row>
    <row r="169" spans="64:70" x14ac:dyDescent="0.3">
      <c r="BL169" s="71" t="s">
        <v>248</v>
      </c>
      <c r="BM169" s="71" t="s">
        <v>209</v>
      </c>
      <c r="BN169" s="71" t="s">
        <v>204</v>
      </c>
      <c r="BO169" s="102">
        <v>3.8000000000000003</v>
      </c>
      <c r="BP169" s="102">
        <v>13.500000000000002</v>
      </c>
      <c r="BQ169" s="71">
        <v>0</v>
      </c>
      <c r="BR169" s="71"/>
    </row>
    <row r="170" spans="64:70" x14ac:dyDescent="0.3">
      <c r="BL170" s="71" t="s">
        <v>249</v>
      </c>
      <c r="BM170" s="71" t="s">
        <v>182</v>
      </c>
      <c r="BN170" s="71" t="s">
        <v>204</v>
      </c>
      <c r="BO170" s="102">
        <v>3.55</v>
      </c>
      <c r="BP170" s="102">
        <v>12.25</v>
      </c>
      <c r="BQ170" s="71" t="s">
        <v>189</v>
      </c>
      <c r="BR170" s="71"/>
    </row>
    <row r="171" spans="64:70" x14ac:dyDescent="0.3">
      <c r="BL171" s="71" t="s">
        <v>250</v>
      </c>
      <c r="BM171" s="71" t="s">
        <v>223</v>
      </c>
      <c r="BN171" s="71" t="s">
        <v>204</v>
      </c>
      <c r="BO171" s="102"/>
      <c r="BP171" s="102"/>
      <c r="BQ171" s="71">
        <v>0</v>
      </c>
      <c r="BR171" s="71"/>
    </row>
    <row r="172" spans="64:70" x14ac:dyDescent="0.3">
      <c r="BL172" s="71" t="s">
        <v>251</v>
      </c>
      <c r="BM172" s="71" t="s">
        <v>183</v>
      </c>
      <c r="BN172" s="71" t="s">
        <v>204</v>
      </c>
      <c r="BO172" s="102">
        <v>3.9</v>
      </c>
      <c r="BP172" s="102">
        <v>11.85</v>
      </c>
      <c r="BQ172" s="71" t="s">
        <v>110</v>
      </c>
      <c r="BR172" s="71"/>
    </row>
    <row r="173" spans="64:70" x14ac:dyDescent="0.3">
      <c r="BL173" s="71" t="s">
        <v>252</v>
      </c>
      <c r="BM173" s="71" t="s">
        <v>183</v>
      </c>
      <c r="BN173" s="71" t="s">
        <v>204</v>
      </c>
      <c r="BO173" s="102">
        <v>4.25</v>
      </c>
      <c r="BP173" s="102">
        <v>12.2</v>
      </c>
      <c r="BQ173" s="71" t="s">
        <v>150</v>
      </c>
      <c r="BR173" s="71"/>
    </row>
    <row r="174" spans="64:70" x14ac:dyDescent="0.3">
      <c r="BL174" s="71" t="s">
        <v>253</v>
      </c>
      <c r="BM174" s="71" t="s">
        <v>183</v>
      </c>
      <c r="BN174" s="71" t="s">
        <v>204</v>
      </c>
      <c r="BO174" s="102">
        <v>4</v>
      </c>
      <c r="BP174" s="102">
        <v>11.95</v>
      </c>
      <c r="BQ174" s="71" t="s">
        <v>176</v>
      </c>
      <c r="BR174" s="71"/>
    </row>
    <row r="175" spans="64:70" x14ac:dyDescent="0.3">
      <c r="BL175" s="71" t="s">
        <v>254</v>
      </c>
      <c r="BM175" s="71" t="s">
        <v>183</v>
      </c>
      <c r="BN175" s="71" t="s">
        <v>204</v>
      </c>
      <c r="BO175" s="102">
        <v>4</v>
      </c>
      <c r="BP175" s="102">
        <v>11.95</v>
      </c>
      <c r="BQ175" s="71" t="s">
        <v>177</v>
      </c>
      <c r="BR175" s="71"/>
    </row>
    <row r="176" spans="64:70" x14ac:dyDescent="0.3">
      <c r="BL176" s="71" t="s">
        <v>255</v>
      </c>
      <c r="BM176" s="71" t="s">
        <v>183</v>
      </c>
      <c r="BN176" s="71" t="s">
        <v>204</v>
      </c>
      <c r="BO176" s="102">
        <v>4.2</v>
      </c>
      <c r="BP176" s="102">
        <v>12.15</v>
      </c>
      <c r="BQ176" s="71" t="s">
        <v>178</v>
      </c>
      <c r="BR176" s="71"/>
    </row>
    <row r="177" spans="64:70" x14ac:dyDescent="0.3">
      <c r="BL177" s="71" t="s">
        <v>256</v>
      </c>
      <c r="BM177" s="71" t="s">
        <v>187</v>
      </c>
      <c r="BN177" s="71" t="s">
        <v>204</v>
      </c>
      <c r="BO177" s="102">
        <v>3.35</v>
      </c>
      <c r="BP177" s="102">
        <v>11.05</v>
      </c>
      <c r="BQ177" s="71" t="s">
        <v>113</v>
      </c>
      <c r="BR177" s="71"/>
    </row>
    <row r="178" spans="64:70" x14ac:dyDescent="0.3">
      <c r="BL178" s="71" t="s">
        <v>257</v>
      </c>
      <c r="BM178" s="71" t="s">
        <v>187</v>
      </c>
      <c r="BN178" s="71" t="s">
        <v>204</v>
      </c>
      <c r="BO178" s="102">
        <v>4.5</v>
      </c>
      <c r="BP178" s="102">
        <v>12.2</v>
      </c>
      <c r="BQ178" s="71" t="s">
        <v>179</v>
      </c>
      <c r="BR178" s="71"/>
    </row>
    <row r="179" spans="64:70" x14ac:dyDescent="0.3">
      <c r="BL179" s="71" t="s">
        <v>258</v>
      </c>
      <c r="BM179" s="71" t="s">
        <v>180</v>
      </c>
      <c r="BN179" s="71" t="s">
        <v>204</v>
      </c>
      <c r="BO179" s="102">
        <v>3.6</v>
      </c>
      <c r="BP179" s="102">
        <v>11.85</v>
      </c>
      <c r="BQ179" s="71" t="s">
        <v>259</v>
      </c>
      <c r="BR179" s="71"/>
    </row>
    <row r="180" spans="64:70" x14ac:dyDescent="0.3">
      <c r="BL180" s="71" t="s">
        <v>260</v>
      </c>
      <c r="BM180" s="71" t="s">
        <v>180</v>
      </c>
      <c r="BN180" s="71" t="s">
        <v>204</v>
      </c>
      <c r="BO180" s="102"/>
      <c r="BP180" s="102"/>
      <c r="BQ180" s="71">
        <v>0</v>
      </c>
      <c r="BR180" s="71"/>
    </row>
    <row r="181" spans="64:70" x14ac:dyDescent="0.3">
      <c r="BL181" s="71" t="s">
        <v>261</v>
      </c>
      <c r="BM181" s="71" t="s">
        <v>214</v>
      </c>
      <c r="BN181" s="71" t="s">
        <v>204</v>
      </c>
      <c r="BO181" s="102">
        <v>3.9</v>
      </c>
      <c r="BP181" s="102">
        <v>12.05</v>
      </c>
      <c r="BQ181" s="71">
        <v>0</v>
      </c>
      <c r="BR181" s="71"/>
    </row>
    <row r="182" spans="64:70" x14ac:dyDescent="0.3">
      <c r="BL182" s="71"/>
      <c r="BM182" s="71"/>
      <c r="BN182" s="71"/>
      <c r="BO182" s="71"/>
      <c r="BP182" s="102"/>
      <c r="BQ182" s="71"/>
      <c r="BR182" s="71"/>
    </row>
    <row r="185" spans="64:70" x14ac:dyDescent="0.3">
      <c r="BL185" s="72" t="s">
        <v>325</v>
      </c>
    </row>
    <row r="186" spans="64:70" x14ac:dyDescent="0.3">
      <c r="BL186" s="74" t="s">
        <v>310</v>
      </c>
      <c r="BO186" s="72">
        <f>BK4</f>
        <v>2026</v>
      </c>
    </row>
    <row r="187" spans="64:70" x14ac:dyDescent="0.3">
      <c r="BL187" s="72" t="s">
        <v>267</v>
      </c>
      <c r="BM187" s="72" t="s">
        <v>87</v>
      </c>
      <c r="BN187" s="72" t="s">
        <v>206</v>
      </c>
      <c r="BO187" s="101">
        <v>1.4</v>
      </c>
    </row>
    <row r="188" spans="64:70" x14ac:dyDescent="0.3">
      <c r="BL188" s="72" t="s">
        <v>268</v>
      </c>
      <c r="BM188" s="72" t="s">
        <v>0</v>
      </c>
      <c r="BN188" s="72" t="s">
        <v>204</v>
      </c>
      <c r="BO188" s="101">
        <v>1.55</v>
      </c>
    </row>
    <row r="189" spans="64:70" x14ac:dyDescent="0.3">
      <c r="BL189" s="72" t="s">
        <v>269</v>
      </c>
      <c r="BM189" s="72" t="s">
        <v>168</v>
      </c>
      <c r="BN189" s="72" t="s">
        <v>204</v>
      </c>
      <c r="BO189" s="101">
        <v>1.68</v>
      </c>
    </row>
    <row r="190" spans="64:70" x14ac:dyDescent="0.3">
      <c r="BL190" s="72" t="s">
        <v>270</v>
      </c>
      <c r="BM190" s="72" t="s">
        <v>266</v>
      </c>
      <c r="BN190" s="72" t="s">
        <v>204</v>
      </c>
      <c r="BO190" s="101">
        <v>2.0499999999999998</v>
      </c>
    </row>
    <row r="191" spans="64:70" x14ac:dyDescent="0.3">
      <c r="BL191" s="72" t="s">
        <v>271</v>
      </c>
      <c r="BM191" s="72" t="s">
        <v>1</v>
      </c>
      <c r="BN191" s="72" t="s">
        <v>204</v>
      </c>
      <c r="BO191" s="101">
        <v>1.42</v>
      </c>
    </row>
    <row r="192" spans="64:70" x14ac:dyDescent="0.3">
      <c r="BL192" s="72" t="s">
        <v>272</v>
      </c>
      <c r="BM192" s="72" t="s">
        <v>86</v>
      </c>
      <c r="BN192" s="72" t="s">
        <v>206</v>
      </c>
      <c r="BO192" s="101">
        <v>1.24</v>
      </c>
    </row>
    <row r="193" spans="64:67" x14ac:dyDescent="0.3">
      <c r="BL193" s="72" t="s">
        <v>273</v>
      </c>
      <c r="BM193" s="72" t="s">
        <v>3</v>
      </c>
      <c r="BN193" s="72" t="s">
        <v>204</v>
      </c>
      <c r="BO193" s="101">
        <v>1.39</v>
      </c>
    </row>
    <row r="194" spans="64:67" x14ac:dyDescent="0.3">
      <c r="BL194" s="72" t="s">
        <v>274</v>
      </c>
      <c r="BM194" s="72" t="s">
        <v>4</v>
      </c>
      <c r="BN194" s="72" t="s">
        <v>204</v>
      </c>
      <c r="BO194" s="101">
        <v>1.7</v>
      </c>
    </row>
    <row r="195" spans="64:67" x14ac:dyDescent="0.3">
      <c r="BL195" s="72" t="s">
        <v>275</v>
      </c>
      <c r="BM195" s="72" t="s">
        <v>5</v>
      </c>
      <c r="BN195" s="72" t="s">
        <v>204</v>
      </c>
      <c r="BO195" s="101">
        <v>1.75</v>
      </c>
    </row>
  </sheetData>
  <sheetProtection algorithmName="SHA-512" hashValue="zrAFpqK47KGmR7Fyzp6U6SaFlFnkcHb5ipS20fbAcAzsmoPcZWszvW+2FnoRKfr50O3u121He5cY5ex7J3pP/A==" saltValue="HSCnvHBEN3iZqJYFGh5TgA==" spinCount="100000" sheet="1" objects="1" scenarios="1"/>
  <mergeCells count="12">
    <mergeCell ref="B29:B30"/>
    <mergeCell ref="B12:D12"/>
    <mergeCell ref="B25:B26"/>
    <mergeCell ref="B27:B28"/>
    <mergeCell ref="B6:D6"/>
    <mergeCell ref="B14:D14"/>
    <mergeCell ref="C10:D10"/>
    <mergeCell ref="BN2:BQ2"/>
    <mergeCell ref="BZ2:CB2"/>
    <mergeCell ref="C9:D9"/>
    <mergeCell ref="C8:D8"/>
    <mergeCell ref="B4:D4"/>
  </mergeCells>
  <conditionalFormatting sqref="B9:D10">
    <cfRule type="expression" dxfId="4" priority="10">
      <formula>OR($BN$96,$BN$100)</formula>
    </cfRule>
  </conditionalFormatting>
  <conditionalFormatting sqref="B10:D10">
    <cfRule type="expression" dxfId="3" priority="1">
      <formula>OR(ISBLANK($C$9),$BN$103,$BN$104)</formula>
    </cfRule>
  </conditionalFormatting>
  <conditionalFormatting sqref="B12:D12">
    <cfRule type="expression" dxfId="2" priority="9">
      <formula>$BN$117</formula>
    </cfRule>
  </conditionalFormatting>
  <conditionalFormatting sqref="C23">
    <cfRule type="expression" dxfId="1" priority="8">
      <formula>ISBLANK($C$22)</formula>
    </cfRule>
  </conditionalFormatting>
  <conditionalFormatting sqref="C8:D8">
    <cfRule type="expression" dxfId="0" priority="2">
      <formula>ISBLANK($D$2)</formula>
    </cfRule>
  </conditionalFormatting>
  <dataValidations count="6">
    <dataValidation type="list" allowBlank="1" showInputMessage="1" showErrorMessage="1" sqref="D2" xr:uid="{00000000-0002-0000-0000-000001000000}">
      <formula1>$CJ$4:$CJ$7</formula1>
    </dataValidation>
    <dataValidation type="list" allowBlank="1" showInputMessage="1" showErrorMessage="1" sqref="C8:D8" xr:uid="{00000000-0002-0000-0000-000002000000}">
      <formula1>$BI$5:$BI$13</formula1>
    </dataValidation>
    <dataValidation type="list" allowBlank="1" showInputMessage="1" showErrorMessage="1" sqref="BM32 C10:D10" xr:uid="{5AF05D41-B75D-4BD3-920A-786B4097EF25}">
      <formula1>INDIRECT($BM$31)</formula1>
    </dataValidation>
    <dataValidation type="list" allowBlank="1" showInputMessage="1" showErrorMessage="1" sqref="BM31" xr:uid="{2E957AD6-0D9B-461A-A7AA-C7A6D343A407}">
      <formula1>$BM$34:$BT$34</formula1>
    </dataValidation>
    <dataValidation type="list" allowBlank="1" showInputMessage="1" showErrorMessage="1" sqref="C9:D9 BM89" xr:uid="{88C3125F-0321-4792-806F-389466851141}">
      <formula1>INDIRECT($BM$88)</formula1>
    </dataValidation>
    <dataValidation type="list" allowBlank="1" showInputMessage="1" showErrorMessage="1" sqref="BM88" xr:uid="{57680588-69BE-45F9-82A5-0A103114C059}">
      <formula1>$BM$91:$BU$91</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8499B-586E-4081-A6DA-136042F5FCEE}">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18</vt:i4>
      </vt:variant>
    </vt:vector>
  </HeadingPairs>
  <TitlesOfParts>
    <vt:vector size="20" baseType="lpstr">
      <vt:lpstr>prorata</vt:lpstr>
      <vt:lpstr>Sheet1</vt:lpstr>
      <vt:lpstr>CI</vt:lpstr>
      <vt:lpstr>CI_type</vt:lpstr>
      <vt:lpstr>CM</vt:lpstr>
      <vt:lpstr>CM_type</vt:lpstr>
      <vt:lpstr>CO</vt:lpstr>
      <vt:lpstr>CO_type</vt:lpstr>
      <vt:lpstr>DO</vt:lpstr>
      <vt:lpstr>DO_type</vt:lpstr>
      <vt:lpstr>EC</vt:lpstr>
      <vt:lpstr>EC_type</vt:lpstr>
      <vt:lpstr>GH</vt:lpstr>
      <vt:lpstr>GH_type</vt:lpstr>
      <vt:lpstr>NI</vt:lpstr>
      <vt:lpstr>NI_type</vt:lpstr>
      <vt:lpstr>PA</vt:lpstr>
      <vt:lpstr>PA_type</vt:lpstr>
      <vt:lpstr>PE</vt:lpstr>
      <vt:lpstr>PE_type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Jose Paredes</cp:lastModifiedBy>
  <cp:lastPrinted>2018-10-31T15:05:48Z</cp:lastPrinted>
  <dcterms:created xsi:type="dcterms:W3CDTF">2018-07-16T02:52:01Z</dcterms:created>
  <dcterms:modified xsi:type="dcterms:W3CDTF">2025-10-13T09:11:39Z</dcterms:modified>
</cp:coreProperties>
</file>