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W:\2025 313\"/>
    </mc:Choice>
  </mc:AlternateContent>
  <xr:revisionPtr revIDLastSave="0" documentId="13_ncr:1_{0D580289-BB63-4612-8592-74DB12B20815}" xr6:coauthVersionLast="47" xr6:coauthVersionMax="47" xr10:uidLastSave="{00000000-0000-0000-0000-000000000000}"/>
  <workbookProtection workbookAlgorithmName="SHA-512" workbookHashValue="D6FF0n6c4HPt/B5eAnHG1AmvNAvwKBKlsfk9rSwOx3ND46LwmOTGIotvpgoapxr1WcuFcOIRNQF9puDOp6yqgw==" workbookSaltValue="xTEqKrE63GU5B8wTxr9w+w==" workbookSpinCount="100000" lockStructure="1"/>
  <bookViews>
    <workbookView xWindow="6972" yWindow="0" windowWidth="16068" windowHeight="12960" tabRatio="677" xr2:uid="{00000000-000D-0000-FFFF-FFFF00000000}"/>
  </bookViews>
  <sheets>
    <sheet name="Instructions" sheetId="20" r:id="rId1"/>
    <sheet name="CO" sheetId="5" r:id="rId2"/>
    <sheet name="DO" sheetId="18" r:id="rId3"/>
    <sheet name="MX" sheetId="17" r:id="rId4"/>
    <sheet name="NI" sheetId="16" r:id="rId5"/>
    <sheet name="GH" sheetId="14" r:id="rId6"/>
    <sheet name="CM" sheetId="15" r:id="rId7"/>
    <sheet name="CI" sheetId="19" r:id="rId8"/>
  </sheets>
  <definedNames>
    <definedName name="_xlnm._FilterDatabase" localSheetId="7" hidden="1">CI!$B$10:$B$19</definedName>
    <definedName name="_xlnm._FilterDatabase" localSheetId="6" hidden="1">CM!$B$10:$B$19</definedName>
    <definedName name="_xlnm._FilterDatabase" localSheetId="1" hidden="1">CO!$B$10:$B$19</definedName>
    <definedName name="_xlnm._FilterDatabase" localSheetId="2" hidden="1">DO!$B$10:$B$19</definedName>
    <definedName name="_xlnm._FilterDatabase" localSheetId="5" hidden="1">GH!$B$10:$B$19</definedName>
    <definedName name="_xlnm._FilterDatabase" localSheetId="3" hidden="1">MX!$B$10:$B$19</definedName>
    <definedName name="_xlnm._FilterDatabase" localSheetId="4" hidden="1">NI!$B$10:$B$19</definedName>
    <definedName name="basicLWB" localSheetId="7">CI!$H$6</definedName>
    <definedName name="basicLWB" localSheetId="6">CM!$H$6</definedName>
    <definedName name="basicLWB" localSheetId="2">DO!$H$6</definedName>
    <definedName name="basicLWB" localSheetId="5">GH!$H$6</definedName>
    <definedName name="basicLWB" localSheetId="3">MX!$H$6</definedName>
    <definedName name="basicLWB" localSheetId="4">NI!$H$6</definedName>
    <definedName name="basicLWB">CO!$H$6</definedName>
    <definedName name="daysperweek" localSheetId="7">CI!$N$19</definedName>
    <definedName name="daysperweek" localSheetId="6">CM!$N$19</definedName>
    <definedName name="daysperweek" localSheetId="2">DO!$N$19</definedName>
    <definedName name="daysperweek" localSheetId="5">GH!$N$19</definedName>
    <definedName name="daysperweek" localSheetId="3">MX!$N$19</definedName>
    <definedName name="daysperweek" localSheetId="4">NI!$N$19</definedName>
    <definedName name="daysperweek">CO!$N$19</definedName>
    <definedName name="LWgap" localSheetId="7">CI!$V$41</definedName>
    <definedName name="LWgap" localSheetId="6">CM!$V$41</definedName>
    <definedName name="LWgap" localSheetId="2">DO!$V$41</definedName>
    <definedName name="LWgap" localSheetId="5">GH!$V$41</definedName>
    <definedName name="LWgap" localSheetId="3">MX!$V$41</definedName>
    <definedName name="LWgap" localSheetId="4">NI!$V$41</definedName>
    <definedName name="LWgap">CO!$V$41</definedName>
    <definedName name="maxFP30" localSheetId="7">CI!$H$43</definedName>
    <definedName name="maxFP30" localSheetId="6">CM!$H$43</definedName>
    <definedName name="maxFP30" localSheetId="2">DO!$H$43</definedName>
    <definedName name="maxFP30" localSheetId="5">GH!$H$43</definedName>
    <definedName name="maxFP30" localSheetId="3">MX!$H$43</definedName>
    <definedName name="maxFP30" localSheetId="4">NI!$H$43</definedName>
    <definedName name="maxFP30">CO!$H$43</definedName>
    <definedName name="promedio" localSheetId="7">CI!$N$10:$N$18</definedName>
    <definedName name="promedio" localSheetId="6">CM!$N$10:$N$18</definedName>
    <definedName name="promedio" localSheetId="2">DO!$N$10:$N$18</definedName>
    <definedName name="promedio" localSheetId="5">GH!$N$10:$N$18</definedName>
    <definedName name="promedio" localSheetId="3">MX!$N$10:$N$18</definedName>
    <definedName name="promedio" localSheetId="4">NI!$N$10:$N$18</definedName>
    <definedName name="promedio">CO!$N$10:$N$18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V40" i="19" l="1"/>
  <c r="V39" i="19"/>
  <c r="V38" i="19"/>
  <c r="V37" i="19"/>
  <c r="V36" i="19"/>
  <c r="V35" i="19"/>
  <c r="V34" i="19"/>
  <c r="V33" i="19"/>
  <c r="V32" i="19"/>
  <c r="V31" i="19"/>
  <c r="V30" i="19"/>
  <c r="V29" i="19"/>
  <c r="V28" i="19"/>
  <c r="V27" i="19"/>
  <c r="V26" i="19"/>
  <c r="V24" i="19"/>
  <c r="V23" i="19"/>
  <c r="V22" i="19"/>
  <c r="V21" i="19"/>
  <c r="V20" i="19"/>
  <c r="V19" i="19"/>
  <c r="V18" i="19"/>
  <c r="V17" i="19"/>
  <c r="V16" i="19"/>
  <c r="V15" i="19"/>
  <c r="V14" i="19"/>
  <c r="V13" i="19"/>
  <c r="V12" i="19"/>
  <c r="V11" i="19"/>
  <c r="V10" i="19"/>
  <c r="V10" i="15"/>
  <c r="V40" i="15"/>
  <c r="V39" i="15"/>
  <c r="V38" i="15"/>
  <c r="V37" i="15"/>
  <c r="V36" i="15"/>
  <c r="V35" i="15"/>
  <c r="V34" i="15"/>
  <c r="V33" i="15"/>
  <c r="V32" i="15"/>
  <c r="V31" i="15"/>
  <c r="V30" i="15"/>
  <c r="V29" i="15"/>
  <c r="V28" i="15"/>
  <c r="V27" i="15"/>
  <c r="V26" i="15"/>
  <c r="V25" i="15"/>
  <c r="V24" i="15"/>
  <c r="V23" i="15"/>
  <c r="V22" i="15"/>
  <c r="V21" i="15"/>
  <c r="V20" i="15"/>
  <c r="V19" i="15"/>
  <c r="V18" i="15"/>
  <c r="V17" i="15"/>
  <c r="V16" i="15"/>
  <c r="V15" i="15"/>
  <c r="V14" i="15"/>
  <c r="V13" i="15"/>
  <c r="V12" i="15"/>
  <c r="V11" i="15"/>
  <c r="V10" i="14"/>
  <c r="V40" i="14"/>
  <c r="V39" i="14"/>
  <c r="V38" i="14"/>
  <c r="V37" i="14"/>
  <c r="V36" i="14"/>
  <c r="V35" i="14"/>
  <c r="V34" i="14"/>
  <c r="V33" i="14"/>
  <c r="V32" i="14"/>
  <c r="V31" i="14"/>
  <c r="V30" i="14"/>
  <c r="V29" i="14"/>
  <c r="V28" i="14"/>
  <c r="V27" i="14"/>
  <c r="V26" i="14"/>
  <c r="V25" i="14"/>
  <c r="V24" i="14"/>
  <c r="V23" i="14"/>
  <c r="V22" i="14"/>
  <c r="V21" i="14"/>
  <c r="V20" i="14"/>
  <c r="V19" i="14"/>
  <c r="V18" i="14"/>
  <c r="V17" i="14"/>
  <c r="V16" i="14"/>
  <c r="V15" i="14"/>
  <c r="V14" i="14"/>
  <c r="V13" i="14"/>
  <c r="V12" i="14"/>
  <c r="V11" i="14"/>
  <c r="V10" i="16"/>
  <c r="V40" i="16"/>
  <c r="V39" i="16"/>
  <c r="V38" i="16"/>
  <c r="V37" i="16"/>
  <c r="V36" i="16"/>
  <c r="V35" i="16"/>
  <c r="V34" i="16"/>
  <c r="V33" i="16"/>
  <c r="V32" i="16"/>
  <c r="V31" i="16"/>
  <c r="V30" i="16"/>
  <c r="V29" i="16"/>
  <c r="V28" i="16"/>
  <c r="V27" i="16"/>
  <c r="V26" i="16"/>
  <c r="V25" i="16"/>
  <c r="V24" i="16"/>
  <c r="V23" i="16"/>
  <c r="V22" i="16"/>
  <c r="V21" i="16"/>
  <c r="V20" i="16"/>
  <c r="V19" i="16"/>
  <c r="V18" i="16"/>
  <c r="V17" i="16"/>
  <c r="V16" i="16"/>
  <c r="V15" i="16"/>
  <c r="V14" i="16"/>
  <c r="V13" i="16"/>
  <c r="V12" i="16"/>
  <c r="V11" i="16"/>
  <c r="V10" i="17"/>
  <c r="V40" i="17"/>
  <c r="V39" i="17"/>
  <c r="V38" i="17"/>
  <c r="V37" i="17"/>
  <c r="V36" i="17"/>
  <c r="V35" i="17"/>
  <c r="V34" i="17"/>
  <c r="V33" i="17"/>
  <c r="V32" i="17"/>
  <c r="V31" i="17"/>
  <c r="V30" i="17"/>
  <c r="V29" i="17"/>
  <c r="V28" i="17"/>
  <c r="V27" i="17"/>
  <c r="V26" i="17"/>
  <c r="V25" i="17"/>
  <c r="V24" i="17"/>
  <c r="V23" i="17"/>
  <c r="V22" i="17"/>
  <c r="V21" i="17"/>
  <c r="V20" i="17"/>
  <c r="V19" i="17"/>
  <c r="V18" i="17"/>
  <c r="V17" i="17"/>
  <c r="V16" i="17"/>
  <c r="V15" i="17"/>
  <c r="V14" i="17"/>
  <c r="V13" i="17"/>
  <c r="V12" i="17"/>
  <c r="V11" i="17"/>
  <c r="V10" i="18"/>
  <c r="V40" i="18"/>
  <c r="V39" i="18"/>
  <c r="V38" i="18"/>
  <c r="V37" i="18"/>
  <c r="V36" i="18"/>
  <c r="V35" i="18"/>
  <c r="V34" i="18"/>
  <c r="V33" i="18"/>
  <c r="V32" i="18"/>
  <c r="V31" i="18"/>
  <c r="V30" i="18"/>
  <c r="V29" i="18"/>
  <c r="V28" i="18"/>
  <c r="V27" i="18"/>
  <c r="V26" i="18"/>
  <c r="V25" i="18"/>
  <c r="V24" i="18"/>
  <c r="V23" i="18"/>
  <c r="V22" i="18"/>
  <c r="V21" i="18"/>
  <c r="V20" i="18"/>
  <c r="V19" i="18"/>
  <c r="V18" i="18"/>
  <c r="V17" i="18"/>
  <c r="V16" i="18"/>
  <c r="V15" i="18"/>
  <c r="V14" i="18"/>
  <c r="V13" i="18"/>
  <c r="V12" i="18"/>
  <c r="V11" i="18"/>
  <c r="V10" i="5"/>
  <c r="V11" i="5"/>
  <c r="V12" i="5"/>
  <c r="V13" i="5"/>
  <c r="V14" i="5"/>
  <c r="V15" i="5"/>
  <c r="V16" i="5"/>
  <c r="V17" i="5"/>
  <c r="V18" i="5"/>
  <c r="V19" i="5"/>
  <c r="V20" i="5"/>
  <c r="V21" i="5"/>
  <c r="V22" i="5"/>
  <c r="V23" i="5"/>
  <c r="V24" i="5"/>
  <c r="V25" i="5"/>
  <c r="V26" i="5"/>
  <c r="V27" i="5"/>
  <c r="V28" i="5"/>
  <c r="V29" i="5"/>
  <c r="V30" i="5"/>
  <c r="V31" i="5"/>
  <c r="V32" i="5"/>
  <c r="V33" i="5"/>
  <c r="V34" i="5"/>
  <c r="V35" i="5"/>
  <c r="V36" i="5"/>
  <c r="V37" i="5"/>
  <c r="V38" i="5"/>
  <c r="V39" i="5"/>
  <c r="V40" i="5"/>
  <c r="H6" i="19"/>
  <c r="H6" i="15"/>
  <c r="H6" i="14"/>
  <c r="H6" i="16"/>
  <c r="H6" i="17"/>
  <c r="H6" i="18"/>
  <c r="H6" i="5"/>
  <c r="B16" i="20"/>
  <c r="B15" i="20"/>
  <c r="B14" i="20"/>
  <c r="B10" i="20"/>
  <c r="B8" i="20"/>
  <c r="B6" i="20"/>
  <c r="O19" i="19" l="1"/>
  <c r="P10" i="19" s="1"/>
  <c r="I43" i="19"/>
  <c r="I44" i="19" s="1"/>
  <c r="H43" i="19"/>
  <c r="C41" i="19"/>
  <c r="F40" i="19"/>
  <c r="F39" i="19"/>
  <c r="F38" i="19"/>
  <c r="F37" i="19"/>
  <c r="F36" i="19"/>
  <c r="F35" i="19"/>
  <c r="F34" i="19"/>
  <c r="F33" i="19"/>
  <c r="F32" i="19"/>
  <c r="F31" i="19"/>
  <c r="F30" i="19"/>
  <c r="F29" i="19"/>
  <c r="F28" i="19"/>
  <c r="F27" i="19"/>
  <c r="F26" i="19"/>
  <c r="F25" i="19"/>
  <c r="V25" i="19" s="1"/>
  <c r="F24" i="19"/>
  <c r="F23" i="19"/>
  <c r="F22" i="19"/>
  <c r="Y21" i="19"/>
  <c r="Z21" i="19" s="1" a="1"/>
  <c r="Z21" i="19" s="1"/>
  <c r="F21" i="19"/>
  <c r="Y20" i="19"/>
  <c r="Z20" i="19" s="1" a="1"/>
  <c r="Z20" i="19" s="1"/>
  <c r="F20" i="19"/>
  <c r="Y19" i="19"/>
  <c r="Z19" i="19" s="1" a="1"/>
  <c r="Z19" i="19" s="1"/>
  <c r="F19" i="19"/>
  <c r="Y18" i="19"/>
  <c r="F18" i="19"/>
  <c r="Y17" i="19"/>
  <c r="F17" i="19"/>
  <c r="Y16" i="19"/>
  <c r="F16" i="19"/>
  <c r="Y15" i="19"/>
  <c r="F15" i="19"/>
  <c r="Y14" i="19"/>
  <c r="F14" i="19"/>
  <c r="Y13" i="19"/>
  <c r="F13" i="19"/>
  <c r="Y12" i="19"/>
  <c r="Z12" i="19" s="1" a="1"/>
  <c r="Z12" i="19" s="1"/>
  <c r="F12" i="19"/>
  <c r="Y11" i="19"/>
  <c r="Z11" i="19" s="1" a="1"/>
  <c r="Z11" i="19" s="1"/>
  <c r="F11" i="19"/>
  <c r="Y10" i="19"/>
  <c r="Z10" i="19" s="1" a="1"/>
  <c r="Z10" i="19" s="1"/>
  <c r="F10" i="19"/>
  <c r="H9" i="19"/>
  <c r="G9" i="19"/>
  <c r="E9" i="19"/>
  <c r="B7" i="19"/>
  <c r="F6" i="19"/>
  <c r="B6" i="19"/>
  <c r="F5" i="19"/>
  <c r="O19" i="18"/>
  <c r="P10" i="18" s="1"/>
  <c r="R10" i="18" s="1"/>
  <c r="I43" i="18"/>
  <c r="I44" i="18" s="1"/>
  <c r="H43" i="18"/>
  <c r="C41" i="18"/>
  <c r="F40" i="18"/>
  <c r="F39" i="18"/>
  <c r="F38" i="18"/>
  <c r="F37" i="18"/>
  <c r="F36" i="18"/>
  <c r="F35" i="18"/>
  <c r="F34" i="18"/>
  <c r="F33" i="18"/>
  <c r="F32" i="18"/>
  <c r="F31" i="18"/>
  <c r="F30" i="18"/>
  <c r="F29" i="18"/>
  <c r="F28" i="18"/>
  <c r="F27" i="18"/>
  <c r="F26" i="18"/>
  <c r="F25" i="18"/>
  <c r="F24" i="18"/>
  <c r="F23" i="18"/>
  <c r="F22" i="18"/>
  <c r="Y21" i="18"/>
  <c r="Z21" i="18" s="1" a="1"/>
  <c r="Z21" i="18" s="1"/>
  <c r="F21" i="18"/>
  <c r="Y20" i="18"/>
  <c r="Z20" i="18" s="1" a="1"/>
  <c r="Z20" i="18" s="1"/>
  <c r="F20" i="18"/>
  <c r="Y19" i="18"/>
  <c r="Z19" i="18" s="1" a="1"/>
  <c r="Z19" i="18" s="1"/>
  <c r="F19" i="18"/>
  <c r="Y18" i="18"/>
  <c r="Z17" i="18" s="1" a="1"/>
  <c r="Z17" i="18" s="1"/>
  <c r="F18" i="18"/>
  <c r="Y17" i="18"/>
  <c r="F17" i="18"/>
  <c r="Y16" i="18"/>
  <c r="F16" i="18"/>
  <c r="Y15" i="18"/>
  <c r="F15" i="18"/>
  <c r="Y14" i="18"/>
  <c r="F14" i="18"/>
  <c r="Y13" i="18"/>
  <c r="F13" i="18"/>
  <c r="Y12" i="18"/>
  <c r="F12" i="18"/>
  <c r="Y11" i="18"/>
  <c r="F11" i="18"/>
  <c r="Y10" i="18"/>
  <c r="F10" i="18"/>
  <c r="H9" i="18"/>
  <c r="G9" i="18"/>
  <c r="E9" i="18"/>
  <c r="B7" i="18"/>
  <c r="F6" i="18"/>
  <c r="B6" i="18"/>
  <c r="F5" i="18"/>
  <c r="O19" i="17"/>
  <c r="P10" i="17"/>
  <c r="R10" i="17" s="1"/>
  <c r="I43" i="17"/>
  <c r="I44" i="17" s="1"/>
  <c r="H43" i="17"/>
  <c r="C41" i="17"/>
  <c r="F40" i="17"/>
  <c r="F39" i="17"/>
  <c r="F38" i="17"/>
  <c r="F37" i="17"/>
  <c r="F36" i="17"/>
  <c r="F35" i="17"/>
  <c r="F34" i="17"/>
  <c r="F33" i="17"/>
  <c r="F32" i="17"/>
  <c r="F31" i="17"/>
  <c r="F30" i="17"/>
  <c r="F29" i="17"/>
  <c r="F28" i="17"/>
  <c r="F27" i="17"/>
  <c r="F26" i="17"/>
  <c r="F25" i="17"/>
  <c r="F24" i="17"/>
  <c r="F23" i="17"/>
  <c r="F22" i="17"/>
  <c r="Y21" i="17"/>
  <c r="Z21" i="17" s="1" a="1"/>
  <c r="Z21" i="17" s="1"/>
  <c r="F21" i="17"/>
  <c r="Y20" i="17"/>
  <c r="Z19" i="17" s="1" a="1"/>
  <c r="Z19" i="17" s="1"/>
  <c r="F20" i="17"/>
  <c r="Y19" i="17"/>
  <c r="F19" i="17"/>
  <c r="Y18" i="17"/>
  <c r="Z16" i="17" s="1" a="1"/>
  <c r="Z16" i="17" s="1"/>
  <c r="F18" i="17"/>
  <c r="Y17" i="17"/>
  <c r="F17" i="17"/>
  <c r="Y16" i="17"/>
  <c r="F16" i="17"/>
  <c r="Y15" i="17"/>
  <c r="F15" i="17"/>
  <c r="Y14" i="17"/>
  <c r="F14" i="17"/>
  <c r="Y13" i="17"/>
  <c r="F13" i="17"/>
  <c r="Y12" i="17"/>
  <c r="F12" i="17"/>
  <c r="Y11" i="17"/>
  <c r="F11" i="17"/>
  <c r="Y10" i="17"/>
  <c r="Z10" i="17" s="1" a="1"/>
  <c r="Z10" i="17" s="1"/>
  <c r="F10" i="17"/>
  <c r="H9" i="17"/>
  <c r="G9" i="17"/>
  <c r="E9" i="17"/>
  <c r="B7" i="17"/>
  <c r="F6" i="17"/>
  <c r="B6" i="17"/>
  <c r="F5" i="17"/>
  <c r="O19" i="14"/>
  <c r="P10" i="14" s="1"/>
  <c r="M10" i="15"/>
  <c r="N10" i="15"/>
  <c r="M11" i="15"/>
  <c r="N11" i="15"/>
  <c r="M12" i="15"/>
  <c r="N12" i="15"/>
  <c r="M13" i="15"/>
  <c r="N13" i="15"/>
  <c r="M14" i="15"/>
  <c r="N14" i="15"/>
  <c r="M15" i="15"/>
  <c r="N15" i="15"/>
  <c r="M16" i="15"/>
  <c r="N16" i="15"/>
  <c r="M17" i="15"/>
  <c r="N17" i="15"/>
  <c r="M18" i="15"/>
  <c r="N18" i="15"/>
  <c r="O19" i="15"/>
  <c r="P10" i="15" s="1"/>
  <c r="Z16" i="19" l="1" a="1"/>
  <c r="Z16" i="19" s="1"/>
  <c r="Z13" i="19" a="1"/>
  <c r="Z13" i="19" s="1"/>
  <c r="Z18" i="19" a="1"/>
  <c r="Z18" i="19" s="1"/>
  <c r="Z12" i="17" a="1"/>
  <c r="Z12" i="17" s="1"/>
  <c r="Z14" i="17" a="1"/>
  <c r="Z14" i="17" s="1"/>
  <c r="Z15" i="18" a="1"/>
  <c r="Z15" i="18" s="1"/>
  <c r="Z16" i="18" a="1"/>
  <c r="Z16" i="18" s="1"/>
  <c r="Z12" i="18" a="1"/>
  <c r="Z12" i="18" s="1"/>
  <c r="Z13" i="18" a="1"/>
  <c r="Z13" i="18" s="1"/>
  <c r="Z17" i="19" a="1"/>
  <c r="Z17" i="19" s="1"/>
  <c r="Z14" i="19" a="1"/>
  <c r="Z14" i="19" s="1"/>
  <c r="Z15" i="19" a="1"/>
  <c r="Z15" i="19" s="1"/>
  <c r="Z17" i="17" a="1"/>
  <c r="Z17" i="17" s="1"/>
  <c r="Z20" i="17" a="1"/>
  <c r="Z20" i="17" s="1"/>
  <c r="Z11" i="17" a="1"/>
  <c r="Z11" i="17" s="1"/>
  <c r="Z15" i="17" a="1"/>
  <c r="Z15" i="17" s="1"/>
  <c r="Z18" i="17" a="1"/>
  <c r="Z18" i="17" s="1"/>
  <c r="Z13" i="17" a="1"/>
  <c r="Z13" i="17" s="1"/>
  <c r="Z10" i="18" a="1"/>
  <c r="Z10" i="18" s="1"/>
  <c r="Z11" i="18" a="1"/>
  <c r="Z11" i="18" s="1"/>
  <c r="Z14" i="18" a="1"/>
  <c r="Z14" i="18" s="1"/>
  <c r="F41" i="19"/>
  <c r="M10" i="19"/>
  <c r="N10" i="19"/>
  <c r="O11" i="19"/>
  <c r="P11" i="19"/>
  <c r="R10" i="19"/>
  <c r="M11" i="19"/>
  <c r="P11" i="18"/>
  <c r="M11" i="18" s="1"/>
  <c r="O11" i="18"/>
  <c r="Z18" i="18" a="1"/>
  <c r="Z18" i="18" s="1"/>
  <c r="F41" i="18"/>
  <c r="N11" i="18"/>
  <c r="M10" i="18"/>
  <c r="N10" i="18"/>
  <c r="F41" i="17"/>
  <c r="P11" i="17"/>
  <c r="O11" i="17"/>
  <c r="N10" i="17"/>
  <c r="M10" i="17"/>
  <c r="R10" i="14"/>
  <c r="P11" i="14"/>
  <c r="O11" i="14"/>
  <c r="O11" i="15"/>
  <c r="P11" i="15"/>
  <c r="O12" i="19" l="1"/>
  <c r="P12" i="19"/>
  <c r="R11" i="19"/>
  <c r="N11" i="19"/>
  <c r="N12" i="19"/>
  <c r="P12" i="18"/>
  <c r="O12" i="18"/>
  <c r="R11" i="18"/>
  <c r="N12" i="18"/>
  <c r="P12" i="17"/>
  <c r="O12" i="17"/>
  <c r="R11" i="17"/>
  <c r="M11" i="17"/>
  <c r="N11" i="17"/>
  <c r="P12" i="14"/>
  <c r="O12" i="14"/>
  <c r="R11" i="14"/>
  <c r="O12" i="15"/>
  <c r="P12" i="15"/>
  <c r="O13" i="19" l="1"/>
  <c r="R12" i="19"/>
  <c r="P13" i="19"/>
  <c r="M12" i="19"/>
  <c r="M13" i="19"/>
  <c r="N13" i="19"/>
  <c r="M12" i="18"/>
  <c r="P13" i="18"/>
  <c r="O13" i="18"/>
  <c r="N13" i="18" s="1"/>
  <c r="R12" i="18"/>
  <c r="M13" i="18"/>
  <c r="P13" i="17"/>
  <c r="O13" i="17"/>
  <c r="R12" i="17"/>
  <c r="N12" i="17"/>
  <c r="M12" i="17"/>
  <c r="P13" i="14"/>
  <c r="O13" i="14"/>
  <c r="R12" i="14"/>
  <c r="P13" i="15"/>
  <c r="O13" i="15"/>
  <c r="P14" i="19" l="1"/>
  <c r="R13" i="19"/>
  <c r="O14" i="19"/>
  <c r="N14" i="19"/>
  <c r="M14" i="19"/>
  <c r="P14" i="18"/>
  <c r="R13" i="18"/>
  <c r="O14" i="18"/>
  <c r="N14" i="18"/>
  <c r="M14" i="18"/>
  <c r="P14" i="17"/>
  <c r="R13" i="17"/>
  <c r="O14" i="17"/>
  <c r="N13" i="17"/>
  <c r="M13" i="17"/>
  <c r="R13" i="14"/>
  <c r="O14" i="14"/>
  <c r="P14" i="14"/>
  <c r="O14" i="15"/>
  <c r="P14" i="15"/>
  <c r="P15" i="19" l="1"/>
  <c r="O15" i="19"/>
  <c r="R14" i="19"/>
  <c r="M15" i="19"/>
  <c r="N15" i="19"/>
  <c r="O15" i="18"/>
  <c r="P15" i="18"/>
  <c r="N15" i="18" s="1"/>
  <c r="R14" i="18"/>
  <c r="P15" i="17"/>
  <c r="O15" i="17"/>
  <c r="R14" i="17"/>
  <c r="N14" i="17"/>
  <c r="M14" i="17"/>
  <c r="P15" i="14"/>
  <c r="O15" i="14"/>
  <c r="R14" i="14"/>
  <c r="P15" i="15"/>
  <c r="O15" i="15"/>
  <c r="R15" i="19" l="1"/>
  <c r="P16" i="19"/>
  <c r="O16" i="19"/>
  <c r="N16" i="19"/>
  <c r="M16" i="19"/>
  <c r="O16" i="18"/>
  <c r="R15" i="18"/>
  <c r="P16" i="18"/>
  <c r="M15" i="18"/>
  <c r="O16" i="17"/>
  <c r="R15" i="17"/>
  <c r="P16" i="17"/>
  <c r="M15" i="17"/>
  <c r="N15" i="17"/>
  <c r="O16" i="14"/>
  <c r="R15" i="14"/>
  <c r="P16" i="14"/>
  <c r="O16" i="15"/>
  <c r="P16" i="15"/>
  <c r="P17" i="19" l="1"/>
  <c r="O17" i="19"/>
  <c r="R16" i="19"/>
  <c r="N17" i="19"/>
  <c r="M17" i="19"/>
  <c r="N16" i="18"/>
  <c r="M16" i="18"/>
  <c r="P17" i="18"/>
  <c r="O17" i="18"/>
  <c r="R16" i="18"/>
  <c r="N17" i="18"/>
  <c r="M17" i="18"/>
  <c r="P17" i="17"/>
  <c r="O17" i="17"/>
  <c r="R16" i="17"/>
  <c r="N16" i="17"/>
  <c r="M16" i="17"/>
  <c r="P17" i="14"/>
  <c r="O17" i="14"/>
  <c r="R16" i="14"/>
  <c r="P17" i="15"/>
  <c r="O18" i="15" s="1"/>
  <c r="O17" i="15"/>
  <c r="R18" i="19" l="1"/>
  <c r="O18" i="19"/>
  <c r="R17" i="19"/>
  <c r="N18" i="19"/>
  <c r="V41" i="19" s="1"/>
  <c r="M18" i="19"/>
  <c r="R18" i="18"/>
  <c r="R17" i="18"/>
  <c r="O18" i="18"/>
  <c r="N18" i="18"/>
  <c r="M18" i="18"/>
  <c r="R18" i="17"/>
  <c r="O18" i="17"/>
  <c r="R17" i="17"/>
  <c r="M17" i="17"/>
  <c r="N17" i="17"/>
  <c r="R18" i="14"/>
  <c r="O18" i="14"/>
  <c r="R17" i="14"/>
  <c r="W35" i="19" l="1"/>
  <c r="G35" i="19" s="1"/>
  <c r="H35" i="19" s="1"/>
  <c r="W27" i="19"/>
  <c r="G27" i="19" s="1"/>
  <c r="H27" i="19" s="1"/>
  <c r="W34" i="19"/>
  <c r="G34" i="19" s="1"/>
  <c r="H34" i="19" s="1"/>
  <c r="W26" i="19"/>
  <c r="G26" i="19" s="1"/>
  <c r="H26" i="19" s="1"/>
  <c r="W40" i="19"/>
  <c r="G40" i="19" s="1"/>
  <c r="H40" i="19" s="1"/>
  <c r="W32" i="19"/>
  <c r="G32" i="19" s="1"/>
  <c r="H32" i="19" s="1"/>
  <c r="W24" i="19"/>
  <c r="G24" i="19" s="1"/>
  <c r="H24" i="19" s="1"/>
  <c r="W20" i="19"/>
  <c r="G20" i="19" s="1"/>
  <c r="H20" i="19" s="1"/>
  <c r="W36" i="19"/>
  <c r="G36" i="19" s="1"/>
  <c r="H36" i="19" s="1"/>
  <c r="W31" i="19"/>
  <c r="G31" i="19" s="1"/>
  <c r="H31" i="19" s="1"/>
  <c r="W25" i="19"/>
  <c r="G25" i="19" s="1"/>
  <c r="H25" i="19" s="1"/>
  <c r="W23" i="19"/>
  <c r="G23" i="19" s="1"/>
  <c r="H23" i="19" s="1"/>
  <c r="W39" i="19"/>
  <c r="G39" i="19" s="1"/>
  <c r="H39" i="19" s="1"/>
  <c r="W29" i="19"/>
  <c r="G29" i="19" s="1"/>
  <c r="H29" i="19" s="1"/>
  <c r="W33" i="19"/>
  <c r="G33" i="19" s="1"/>
  <c r="H33" i="19" s="1"/>
  <c r="W37" i="19"/>
  <c r="G37" i="19" s="1"/>
  <c r="H37" i="19" s="1"/>
  <c r="W10" i="19"/>
  <c r="G10" i="19" s="1"/>
  <c r="W30" i="19"/>
  <c r="G30" i="19" s="1"/>
  <c r="H30" i="19" s="1"/>
  <c r="W19" i="19"/>
  <c r="G19" i="19" s="1"/>
  <c r="H19" i="19" s="1"/>
  <c r="W22" i="19"/>
  <c r="G22" i="19" s="1"/>
  <c r="H22" i="19" s="1"/>
  <c r="W21" i="19"/>
  <c r="G21" i="19" s="1"/>
  <c r="H21" i="19" s="1"/>
  <c r="W38" i="19"/>
  <c r="G38" i="19" s="1"/>
  <c r="H38" i="19" s="1"/>
  <c r="W11" i="19"/>
  <c r="G11" i="19" s="1"/>
  <c r="H11" i="19" s="1"/>
  <c r="W28" i="19"/>
  <c r="G28" i="19" s="1"/>
  <c r="H28" i="19" s="1"/>
  <c r="W12" i="19"/>
  <c r="G12" i="19" s="1"/>
  <c r="H12" i="19" s="1"/>
  <c r="W13" i="19"/>
  <c r="G13" i="19" s="1"/>
  <c r="H13" i="19" s="1"/>
  <c r="W14" i="19"/>
  <c r="G14" i="19" s="1"/>
  <c r="H14" i="19" s="1"/>
  <c r="W15" i="19"/>
  <c r="G15" i="19" s="1"/>
  <c r="H15" i="19" s="1"/>
  <c r="W16" i="19"/>
  <c r="G16" i="19" s="1"/>
  <c r="H16" i="19" s="1"/>
  <c r="W17" i="19"/>
  <c r="G17" i="19" s="1"/>
  <c r="H17" i="19" s="1"/>
  <c r="W18" i="19"/>
  <c r="G18" i="19" s="1"/>
  <c r="H18" i="19" s="1"/>
  <c r="V41" i="18"/>
  <c r="W18" i="18" s="1"/>
  <c r="N18" i="17"/>
  <c r="M18" i="17"/>
  <c r="W41" i="19" l="1"/>
  <c r="G41" i="19"/>
  <c r="H44" i="19" s="1"/>
  <c r="H10" i="19"/>
  <c r="G18" i="18"/>
  <c r="H18" i="18" s="1"/>
  <c r="W27" i="18"/>
  <c r="G27" i="18" s="1"/>
  <c r="H27" i="18" s="1"/>
  <c r="W24" i="18"/>
  <c r="G24" i="18" s="1"/>
  <c r="H24" i="18" s="1"/>
  <c r="W39" i="18"/>
  <c r="G39" i="18" s="1"/>
  <c r="H39" i="18" s="1"/>
  <c r="W31" i="18"/>
  <c r="G31" i="18" s="1"/>
  <c r="H31" i="18" s="1"/>
  <c r="W25" i="18"/>
  <c r="G25" i="18" s="1"/>
  <c r="H25" i="18" s="1"/>
  <c r="W26" i="18"/>
  <c r="G26" i="18" s="1"/>
  <c r="H26" i="18" s="1"/>
  <c r="W30" i="18"/>
  <c r="G30" i="18" s="1"/>
  <c r="H30" i="18" s="1"/>
  <c r="W33" i="18"/>
  <c r="G33" i="18" s="1"/>
  <c r="H33" i="18" s="1"/>
  <c r="W32" i="18"/>
  <c r="G32" i="18" s="1"/>
  <c r="H32" i="18" s="1"/>
  <c r="W20" i="18"/>
  <c r="G20" i="18" s="1"/>
  <c r="H20" i="18" s="1"/>
  <c r="W29" i="18"/>
  <c r="G29" i="18" s="1"/>
  <c r="H29" i="18" s="1"/>
  <c r="W38" i="18"/>
  <c r="G38" i="18" s="1"/>
  <c r="H38" i="18" s="1"/>
  <c r="W34" i="18"/>
  <c r="G34" i="18" s="1"/>
  <c r="H34" i="18" s="1"/>
  <c r="W40" i="18"/>
  <c r="G40" i="18" s="1"/>
  <c r="H40" i="18" s="1"/>
  <c r="W28" i="18"/>
  <c r="G28" i="18" s="1"/>
  <c r="H28" i="18" s="1"/>
  <c r="W22" i="18"/>
  <c r="G22" i="18" s="1"/>
  <c r="H22" i="18" s="1"/>
  <c r="W19" i="18"/>
  <c r="G19" i="18" s="1"/>
  <c r="H19" i="18" s="1"/>
  <c r="W35" i="18"/>
  <c r="G35" i="18" s="1"/>
  <c r="H35" i="18" s="1"/>
  <c r="W21" i="18"/>
  <c r="G21" i="18" s="1"/>
  <c r="H21" i="18" s="1"/>
  <c r="W23" i="18"/>
  <c r="G23" i="18" s="1"/>
  <c r="H23" i="18" s="1"/>
  <c r="W37" i="18"/>
  <c r="G37" i="18" s="1"/>
  <c r="H37" i="18" s="1"/>
  <c r="W36" i="18"/>
  <c r="G36" i="18" s="1"/>
  <c r="H36" i="18" s="1"/>
  <c r="W11" i="18"/>
  <c r="G11" i="18" s="1"/>
  <c r="H11" i="18" s="1"/>
  <c r="W10" i="18"/>
  <c r="W12" i="18"/>
  <c r="G12" i="18" s="1"/>
  <c r="H12" i="18" s="1"/>
  <c r="W13" i="18"/>
  <c r="G13" i="18" s="1"/>
  <c r="H13" i="18" s="1"/>
  <c r="W14" i="18"/>
  <c r="G14" i="18" s="1"/>
  <c r="H14" i="18" s="1"/>
  <c r="W15" i="18"/>
  <c r="G15" i="18" s="1"/>
  <c r="H15" i="18" s="1"/>
  <c r="W16" i="18"/>
  <c r="G16" i="18" s="1"/>
  <c r="H16" i="18" s="1"/>
  <c r="W17" i="18"/>
  <c r="G17" i="18" s="1"/>
  <c r="H17" i="18" s="1"/>
  <c r="V41" i="17"/>
  <c r="W41" i="18" l="1"/>
  <c r="G10" i="18"/>
  <c r="W20" i="17"/>
  <c r="G20" i="17" s="1"/>
  <c r="H20" i="17" s="1"/>
  <c r="W26" i="17"/>
  <c r="G26" i="17" s="1"/>
  <c r="H26" i="17" s="1"/>
  <c r="W36" i="17"/>
  <c r="G36" i="17" s="1"/>
  <c r="H36" i="17" s="1"/>
  <c r="W19" i="17"/>
  <c r="G19" i="17"/>
  <c r="H19" i="17" s="1"/>
  <c r="W28" i="17"/>
  <c r="G28" i="17" s="1"/>
  <c r="H28" i="17" s="1"/>
  <c r="W22" i="17"/>
  <c r="G22" i="17" s="1"/>
  <c r="H22" i="17" s="1"/>
  <c r="W34" i="17"/>
  <c r="G34" i="17" s="1"/>
  <c r="H34" i="17" s="1"/>
  <c r="W32" i="17"/>
  <c r="G32" i="17" s="1"/>
  <c r="H32" i="17" s="1"/>
  <c r="W27" i="17"/>
  <c r="G27" i="17" s="1"/>
  <c r="H27" i="17" s="1"/>
  <c r="W35" i="17"/>
  <c r="G35" i="17" s="1"/>
  <c r="H35" i="17" s="1"/>
  <c r="W40" i="17"/>
  <c r="G40" i="17" s="1"/>
  <c r="H40" i="17" s="1"/>
  <c r="W30" i="17"/>
  <c r="G30" i="17" s="1"/>
  <c r="H30" i="17" s="1"/>
  <c r="W33" i="17"/>
  <c r="G33" i="17" s="1"/>
  <c r="H33" i="17" s="1"/>
  <c r="W21" i="17"/>
  <c r="G21" i="17" s="1"/>
  <c r="H21" i="17" s="1"/>
  <c r="W29" i="17"/>
  <c r="G29" i="17" s="1"/>
  <c r="H29" i="17" s="1"/>
  <c r="W10" i="17"/>
  <c r="G10" i="17" s="1"/>
  <c r="W39" i="17"/>
  <c r="G39" i="17" s="1"/>
  <c r="H39" i="17" s="1"/>
  <c r="W25" i="17"/>
  <c r="G25" i="17" s="1"/>
  <c r="H25" i="17" s="1"/>
  <c r="W38" i="17"/>
  <c r="G38" i="17" s="1"/>
  <c r="H38" i="17" s="1"/>
  <c r="W23" i="17"/>
  <c r="G23" i="17" s="1"/>
  <c r="H23" i="17" s="1"/>
  <c r="W24" i="17"/>
  <c r="G24" i="17" s="1"/>
  <c r="H24" i="17" s="1"/>
  <c r="W31" i="17"/>
  <c r="G31" i="17" s="1"/>
  <c r="H31" i="17" s="1"/>
  <c r="W37" i="17"/>
  <c r="G37" i="17" s="1"/>
  <c r="H37" i="17" s="1"/>
  <c r="W11" i="17"/>
  <c r="G11" i="17" s="1"/>
  <c r="H11" i="17" s="1"/>
  <c r="W12" i="17"/>
  <c r="G12" i="17" s="1"/>
  <c r="H12" i="17" s="1"/>
  <c r="W13" i="17"/>
  <c r="G13" i="17" s="1"/>
  <c r="H13" i="17" s="1"/>
  <c r="W14" i="17"/>
  <c r="G14" i="17" s="1"/>
  <c r="H14" i="17" s="1"/>
  <c r="W15" i="17"/>
  <c r="G15" i="17" s="1"/>
  <c r="H15" i="17" s="1"/>
  <c r="W16" i="17"/>
  <c r="G16" i="17" s="1"/>
  <c r="H16" i="17" s="1"/>
  <c r="W17" i="17"/>
  <c r="G17" i="17" s="1"/>
  <c r="H17" i="17" s="1"/>
  <c r="W18" i="17"/>
  <c r="G18" i="17" s="1"/>
  <c r="H18" i="17" s="1"/>
  <c r="G41" i="18" l="1"/>
  <c r="H44" i="18" s="1"/>
  <c r="H10" i="18"/>
  <c r="H10" i="17"/>
  <c r="G41" i="17"/>
  <c r="H44" i="17" s="1"/>
  <c r="W41" i="17"/>
  <c r="I43" i="16" l="1"/>
  <c r="I44" i="16" s="1"/>
  <c r="H43" i="16"/>
  <c r="C41" i="16"/>
  <c r="F40" i="16"/>
  <c r="F39" i="16"/>
  <c r="F38" i="16"/>
  <c r="F37" i="16"/>
  <c r="F36" i="16"/>
  <c r="F35" i="16"/>
  <c r="F34" i="16"/>
  <c r="F33" i="16"/>
  <c r="F32" i="16"/>
  <c r="F31" i="16"/>
  <c r="F30" i="16"/>
  <c r="F29" i="16"/>
  <c r="F28" i="16"/>
  <c r="F27" i="16"/>
  <c r="F26" i="16"/>
  <c r="F25" i="16"/>
  <c r="F24" i="16"/>
  <c r="F23" i="16"/>
  <c r="F22" i="16"/>
  <c r="Y21" i="16"/>
  <c r="Z21" i="16" s="1" a="1"/>
  <c r="Z21" i="16" s="1"/>
  <c r="F21" i="16"/>
  <c r="Y20" i="16"/>
  <c r="F20" i="16"/>
  <c r="Y19" i="16"/>
  <c r="O19" i="16"/>
  <c r="P10" i="16" s="1"/>
  <c r="F19" i="16"/>
  <c r="Y18" i="16"/>
  <c r="F18" i="16"/>
  <c r="Y17" i="16"/>
  <c r="F17" i="16"/>
  <c r="Y16" i="16"/>
  <c r="F16" i="16"/>
  <c r="Y15" i="16"/>
  <c r="Z15" i="16" s="1" a="1"/>
  <c r="Z15" i="16" s="1"/>
  <c r="F15" i="16"/>
  <c r="Y14" i="16"/>
  <c r="F14" i="16"/>
  <c r="Y13" i="16"/>
  <c r="F13" i="16"/>
  <c r="Y12" i="16"/>
  <c r="F12" i="16"/>
  <c r="Y11" i="16"/>
  <c r="F11" i="16"/>
  <c r="Y10" i="16"/>
  <c r="Z10" i="16" s="1" a="1"/>
  <c r="Z10" i="16" s="1"/>
  <c r="F10" i="16"/>
  <c r="H9" i="16"/>
  <c r="G9" i="16"/>
  <c r="E9" i="16"/>
  <c r="B7" i="16"/>
  <c r="F6" i="16"/>
  <c r="B6" i="16"/>
  <c r="F5" i="16"/>
  <c r="Z18" i="16" l="1" a="1"/>
  <c r="Z18" i="16" s="1"/>
  <c r="Z19" i="16" a="1"/>
  <c r="Z19" i="16" s="1"/>
  <c r="Z13" i="16" a="1"/>
  <c r="Z13" i="16" s="1"/>
  <c r="Z12" i="16" a="1"/>
  <c r="Z12" i="16" s="1"/>
  <c r="Z16" i="16" a="1"/>
  <c r="Z16" i="16" s="1"/>
  <c r="Z20" i="16" a="1"/>
  <c r="Z20" i="16" s="1"/>
  <c r="Z11" i="16" a="1"/>
  <c r="Z11" i="16" s="1"/>
  <c r="Z14" i="16" a="1"/>
  <c r="Z14" i="16" s="1"/>
  <c r="Z17" i="16" a="1"/>
  <c r="Z17" i="16" s="1"/>
  <c r="F41" i="16"/>
  <c r="M10" i="16"/>
  <c r="N10" i="16"/>
  <c r="P11" i="16"/>
  <c r="O11" i="16"/>
  <c r="R10" i="16"/>
  <c r="I43" i="15"/>
  <c r="I44" i="15" s="1"/>
  <c r="H9" i="5"/>
  <c r="H9" i="14"/>
  <c r="H9" i="15"/>
  <c r="G9" i="15"/>
  <c r="E9" i="15"/>
  <c r="F6" i="15"/>
  <c r="F5" i="15"/>
  <c r="B7" i="15"/>
  <c r="B6" i="15"/>
  <c r="H43" i="15"/>
  <c r="C41" i="15"/>
  <c r="F40" i="15"/>
  <c r="F39" i="15"/>
  <c r="F38" i="15"/>
  <c r="F37" i="15"/>
  <c r="F36" i="15"/>
  <c r="F35" i="15"/>
  <c r="F34" i="15"/>
  <c r="F33" i="15"/>
  <c r="F32" i="15"/>
  <c r="F31" i="15"/>
  <c r="F30" i="15"/>
  <c r="F29" i="15"/>
  <c r="F28" i="15"/>
  <c r="F27" i="15"/>
  <c r="F26" i="15"/>
  <c r="F25" i="15"/>
  <c r="F24" i="15"/>
  <c r="F23" i="15"/>
  <c r="F22" i="15"/>
  <c r="Y21" i="15"/>
  <c r="Z21" i="15" s="1" a="1"/>
  <c r="Z21" i="15" s="1"/>
  <c r="F21" i="15"/>
  <c r="Y20" i="15"/>
  <c r="F20" i="15"/>
  <c r="Y19" i="15"/>
  <c r="F19" i="15"/>
  <c r="Y18" i="15"/>
  <c r="F18" i="15"/>
  <c r="Y17" i="15"/>
  <c r="F17" i="15"/>
  <c r="Y16" i="15"/>
  <c r="Z16" i="15" s="1" a="1"/>
  <c r="Z16" i="15" s="1"/>
  <c r="F16" i="15"/>
  <c r="Y15" i="15"/>
  <c r="F15" i="15"/>
  <c r="Y14" i="15"/>
  <c r="F14" i="15"/>
  <c r="Y13" i="15"/>
  <c r="F13" i="15"/>
  <c r="Y12" i="15"/>
  <c r="Z12" i="15" s="1" a="1"/>
  <c r="Z12" i="15" s="1"/>
  <c r="F12" i="15"/>
  <c r="Y11" i="15"/>
  <c r="F11" i="15"/>
  <c r="Y10" i="15"/>
  <c r="F10" i="15"/>
  <c r="I43" i="14"/>
  <c r="I44" i="14" s="1"/>
  <c r="I43" i="5"/>
  <c r="I44" i="5" s="1"/>
  <c r="G9" i="14"/>
  <c r="E9" i="14"/>
  <c r="F6" i="5"/>
  <c r="F6" i="14"/>
  <c r="F5" i="14"/>
  <c r="B7" i="14"/>
  <c r="B6" i="14"/>
  <c r="H43" i="14"/>
  <c r="C41" i="14"/>
  <c r="F40" i="14"/>
  <c r="F39" i="14"/>
  <c r="F38" i="14"/>
  <c r="F37" i="14"/>
  <c r="F36" i="14"/>
  <c r="F35" i="14"/>
  <c r="F34" i="14"/>
  <c r="F33" i="14"/>
  <c r="F32" i="14"/>
  <c r="F31" i="14"/>
  <c r="F30" i="14"/>
  <c r="F29" i="14"/>
  <c r="F28" i="14"/>
  <c r="F27" i="14"/>
  <c r="F26" i="14"/>
  <c r="F25" i="14"/>
  <c r="F24" i="14"/>
  <c r="F23" i="14"/>
  <c r="F22" i="14"/>
  <c r="Z21" i="14" a="1"/>
  <c r="Z21" i="14" s="1"/>
  <c r="Y21" i="14"/>
  <c r="Z20" i="14" s="1" a="1"/>
  <c r="Z20" i="14" s="1"/>
  <c r="F21" i="14"/>
  <c r="Y20" i="14"/>
  <c r="F20" i="14"/>
  <c r="Y19" i="14"/>
  <c r="Z19" i="14" s="1" a="1"/>
  <c r="Z19" i="14" s="1"/>
  <c r="F19" i="14"/>
  <c r="Y18" i="14"/>
  <c r="Z18" i="14" s="1" a="1"/>
  <c r="Z18" i="14" s="1"/>
  <c r="F18" i="14"/>
  <c r="Y17" i="14"/>
  <c r="Z17" i="14" s="1" a="1"/>
  <c r="Z17" i="14" s="1"/>
  <c r="F17" i="14"/>
  <c r="Z16" i="14" a="1"/>
  <c r="Z16" i="14" s="1"/>
  <c r="Y16" i="14"/>
  <c r="F16" i="14"/>
  <c r="Y15" i="14"/>
  <c r="F15" i="14"/>
  <c r="Y14" i="14"/>
  <c r="F14" i="14"/>
  <c r="Y13" i="14"/>
  <c r="Z13" i="14" s="1" a="1"/>
  <c r="Z13" i="14" s="1"/>
  <c r="F13" i="14"/>
  <c r="Y12" i="14"/>
  <c r="F12" i="14"/>
  <c r="Y11" i="14"/>
  <c r="F11" i="14"/>
  <c r="Y10" i="14"/>
  <c r="Z10" i="14" s="1" a="1"/>
  <c r="Z10" i="14" s="1"/>
  <c r="F10" i="14"/>
  <c r="B6" i="5"/>
  <c r="F5" i="5"/>
  <c r="B7" i="5"/>
  <c r="F10" i="5"/>
  <c r="F11" i="5"/>
  <c r="F12" i="5"/>
  <c r="F13" i="5"/>
  <c r="F14" i="5"/>
  <c r="F15" i="5"/>
  <c r="F16" i="5"/>
  <c r="F17" i="5"/>
  <c r="F18" i="5"/>
  <c r="F19" i="5"/>
  <c r="F20" i="5"/>
  <c r="F21" i="5"/>
  <c r="F22" i="5"/>
  <c r="F23" i="5"/>
  <c r="F24" i="5"/>
  <c r="F25" i="5"/>
  <c r="F26" i="5"/>
  <c r="F27" i="5"/>
  <c r="F28" i="5"/>
  <c r="F29" i="5"/>
  <c r="F30" i="5"/>
  <c r="F31" i="5"/>
  <c r="F32" i="5"/>
  <c r="F33" i="5"/>
  <c r="F34" i="5"/>
  <c r="F35" i="5"/>
  <c r="F36" i="5"/>
  <c r="F37" i="5"/>
  <c r="F38" i="5"/>
  <c r="F39" i="5"/>
  <c r="F40" i="5"/>
  <c r="Z17" i="15" l="1" a="1"/>
  <c r="Z17" i="15" s="1"/>
  <c r="Z11" i="15" a="1"/>
  <c r="Z11" i="15" s="1"/>
  <c r="Z13" i="15" a="1"/>
  <c r="Z13" i="15" s="1"/>
  <c r="Z15" i="15" a="1"/>
  <c r="Z15" i="15" s="1"/>
  <c r="Z10" i="15" a="1"/>
  <c r="Z10" i="15" s="1"/>
  <c r="Z19" i="15" a="1"/>
  <c r="Z19" i="15" s="1"/>
  <c r="Z14" i="15" a="1"/>
  <c r="Z14" i="15" s="1"/>
  <c r="Z20" i="15" a="1"/>
  <c r="Z20" i="15" s="1"/>
  <c r="Z11" i="14" a="1"/>
  <c r="Z11" i="14" s="1"/>
  <c r="Z15" i="14" a="1"/>
  <c r="Z15" i="14" s="1"/>
  <c r="Z14" i="14" a="1"/>
  <c r="Z14" i="14" s="1"/>
  <c r="Z12" i="14" a="1"/>
  <c r="Z12" i="14" s="1"/>
  <c r="M10" i="14"/>
  <c r="N11" i="16"/>
  <c r="M11" i="16"/>
  <c r="P12" i="16"/>
  <c r="O12" i="16"/>
  <c r="R11" i="16"/>
  <c r="R11" i="15"/>
  <c r="F41" i="15"/>
  <c r="Z18" i="15" a="1"/>
  <c r="Z18" i="15" s="1"/>
  <c r="R10" i="15"/>
  <c r="F41" i="14"/>
  <c r="N11" i="14"/>
  <c r="M11" i="14"/>
  <c r="N10" i="14"/>
  <c r="R12" i="16" l="1"/>
  <c r="P13" i="16"/>
  <c r="O13" i="16"/>
  <c r="M12" i="16"/>
  <c r="N12" i="16"/>
  <c r="R12" i="15"/>
  <c r="N12" i="14"/>
  <c r="M12" i="14"/>
  <c r="N13" i="16" l="1"/>
  <c r="M13" i="16"/>
  <c r="P14" i="16"/>
  <c r="O14" i="16"/>
  <c r="R13" i="16"/>
  <c r="R13" i="15"/>
  <c r="N13" i="14"/>
  <c r="M13" i="14"/>
  <c r="R14" i="16" l="1"/>
  <c r="P15" i="16"/>
  <c r="O15" i="16"/>
  <c r="N14" i="16"/>
  <c r="M14" i="16"/>
  <c r="R14" i="15"/>
  <c r="N14" i="14"/>
  <c r="M14" i="14"/>
  <c r="N15" i="16" l="1"/>
  <c r="M15" i="16"/>
  <c r="O16" i="16"/>
  <c r="R15" i="16"/>
  <c r="P16" i="16"/>
  <c r="R15" i="15"/>
  <c r="M15" i="14"/>
  <c r="N15" i="14"/>
  <c r="N16" i="16" l="1"/>
  <c r="M16" i="16"/>
  <c r="P17" i="16"/>
  <c r="O17" i="16"/>
  <c r="R16" i="16"/>
  <c r="R16" i="15"/>
  <c r="M16" i="14"/>
  <c r="N16" i="14"/>
  <c r="N17" i="16" l="1"/>
  <c r="M17" i="16"/>
  <c r="R17" i="16"/>
  <c r="R18" i="16"/>
  <c r="O18" i="16"/>
  <c r="R18" i="15"/>
  <c r="R17" i="15"/>
  <c r="N17" i="14"/>
  <c r="M17" i="14"/>
  <c r="M18" i="16" l="1"/>
  <c r="N18" i="16"/>
  <c r="N18" i="14"/>
  <c r="M18" i="14"/>
  <c r="V41" i="16" l="1"/>
  <c r="W18" i="16" s="1"/>
  <c r="V41" i="15"/>
  <c r="W18" i="15" s="1"/>
  <c r="V41" i="14"/>
  <c r="G18" i="16" l="1"/>
  <c r="H18" i="16" s="1"/>
  <c r="W29" i="16"/>
  <c r="G29" i="16" s="1"/>
  <c r="H29" i="16" s="1"/>
  <c r="W39" i="16"/>
  <c r="G39" i="16" s="1"/>
  <c r="H39" i="16" s="1"/>
  <c r="W36" i="16"/>
  <c r="G36" i="16" s="1"/>
  <c r="H36" i="16" s="1"/>
  <c r="W23" i="16"/>
  <c r="G23" i="16" s="1"/>
  <c r="H23" i="16" s="1"/>
  <c r="W33" i="16"/>
  <c r="G33" i="16" s="1"/>
  <c r="H33" i="16" s="1"/>
  <c r="W25" i="16"/>
  <c r="G25" i="16" s="1"/>
  <c r="H25" i="16" s="1"/>
  <c r="W24" i="16"/>
  <c r="G24" i="16" s="1"/>
  <c r="H24" i="16" s="1"/>
  <c r="W20" i="16"/>
  <c r="G20" i="16" s="1"/>
  <c r="H20" i="16" s="1"/>
  <c r="W31" i="16"/>
  <c r="G31" i="16" s="1"/>
  <c r="H31" i="16" s="1"/>
  <c r="W27" i="16"/>
  <c r="G27" i="16" s="1"/>
  <c r="H27" i="16" s="1"/>
  <c r="W22" i="16"/>
  <c r="G22" i="16" s="1"/>
  <c r="H22" i="16" s="1"/>
  <c r="W21" i="16"/>
  <c r="G21" i="16" s="1"/>
  <c r="H21" i="16" s="1"/>
  <c r="W34" i="16"/>
  <c r="G34" i="16" s="1"/>
  <c r="H34" i="16" s="1"/>
  <c r="W19" i="16"/>
  <c r="G19" i="16" s="1"/>
  <c r="H19" i="16" s="1"/>
  <c r="W28" i="16"/>
  <c r="G28" i="16" s="1"/>
  <c r="H28" i="16" s="1"/>
  <c r="W35" i="16"/>
  <c r="G35" i="16" s="1"/>
  <c r="H35" i="16" s="1"/>
  <c r="W10" i="16"/>
  <c r="W26" i="16"/>
  <c r="G26" i="16" s="1"/>
  <c r="H26" i="16" s="1"/>
  <c r="W32" i="16"/>
  <c r="G32" i="16" s="1"/>
  <c r="H32" i="16" s="1"/>
  <c r="W37" i="16"/>
  <c r="G37" i="16" s="1"/>
  <c r="H37" i="16" s="1"/>
  <c r="W40" i="16"/>
  <c r="G40" i="16" s="1"/>
  <c r="H40" i="16" s="1"/>
  <c r="W38" i="16"/>
  <c r="G38" i="16" s="1"/>
  <c r="H38" i="16" s="1"/>
  <c r="W30" i="16"/>
  <c r="G30" i="16" s="1"/>
  <c r="H30" i="16" s="1"/>
  <c r="W11" i="16"/>
  <c r="G11" i="16" s="1"/>
  <c r="H11" i="16" s="1"/>
  <c r="W12" i="16"/>
  <c r="G12" i="16" s="1"/>
  <c r="H12" i="16" s="1"/>
  <c r="W13" i="16"/>
  <c r="G13" i="16" s="1"/>
  <c r="H13" i="16" s="1"/>
  <c r="W14" i="16"/>
  <c r="G14" i="16" s="1"/>
  <c r="H14" i="16" s="1"/>
  <c r="W15" i="16"/>
  <c r="G15" i="16" s="1"/>
  <c r="H15" i="16" s="1"/>
  <c r="W16" i="16"/>
  <c r="G16" i="16" s="1"/>
  <c r="H16" i="16" s="1"/>
  <c r="W17" i="16"/>
  <c r="G17" i="16" s="1"/>
  <c r="H17" i="16" s="1"/>
  <c r="G18" i="15"/>
  <c r="H18" i="15" s="1"/>
  <c r="W27" i="15"/>
  <c r="G27" i="15" s="1"/>
  <c r="H27" i="15" s="1"/>
  <c r="W35" i="15"/>
  <c r="G35" i="15" s="1"/>
  <c r="H35" i="15" s="1"/>
  <c r="W33" i="15"/>
  <c r="G33" i="15" s="1"/>
  <c r="H33" i="15" s="1"/>
  <c r="W34" i="15"/>
  <c r="G34" i="15" s="1"/>
  <c r="H34" i="15" s="1"/>
  <c r="W28" i="15"/>
  <c r="G28" i="15" s="1"/>
  <c r="H28" i="15" s="1"/>
  <c r="W26" i="15"/>
  <c r="G26" i="15" s="1"/>
  <c r="H26" i="15" s="1"/>
  <c r="W10" i="15"/>
  <c r="W39" i="15"/>
  <c r="G39" i="15" s="1"/>
  <c r="H39" i="15" s="1"/>
  <c r="W24" i="15"/>
  <c r="G24" i="15" s="1"/>
  <c r="H24" i="15" s="1"/>
  <c r="W23" i="15"/>
  <c r="G23" i="15" s="1"/>
  <c r="H23" i="15" s="1"/>
  <c r="W30" i="15"/>
  <c r="G30" i="15" s="1"/>
  <c r="H30" i="15" s="1"/>
  <c r="W29" i="15"/>
  <c r="G29" i="15" s="1"/>
  <c r="H29" i="15" s="1"/>
  <c r="W38" i="15"/>
  <c r="G38" i="15" s="1"/>
  <c r="H38" i="15" s="1"/>
  <c r="W31" i="15"/>
  <c r="G31" i="15" s="1"/>
  <c r="H31" i="15" s="1"/>
  <c r="W37" i="15"/>
  <c r="G37" i="15" s="1"/>
  <c r="H37" i="15" s="1"/>
  <c r="W20" i="15"/>
  <c r="G20" i="15" s="1"/>
  <c r="H20" i="15" s="1"/>
  <c r="W40" i="15"/>
  <c r="G40" i="15" s="1"/>
  <c r="H40" i="15" s="1"/>
  <c r="W25" i="15"/>
  <c r="G25" i="15" s="1"/>
  <c r="H25" i="15" s="1"/>
  <c r="W19" i="15"/>
  <c r="G19" i="15" s="1"/>
  <c r="H19" i="15" s="1"/>
  <c r="W21" i="15"/>
  <c r="G21" i="15" s="1"/>
  <c r="H21" i="15" s="1"/>
  <c r="W32" i="15"/>
  <c r="G32" i="15" s="1"/>
  <c r="H32" i="15" s="1"/>
  <c r="W36" i="15"/>
  <c r="G36" i="15" s="1"/>
  <c r="H36" i="15" s="1"/>
  <c r="W22" i="15"/>
  <c r="G22" i="15" s="1"/>
  <c r="H22" i="15" s="1"/>
  <c r="W11" i="15"/>
  <c r="G11" i="15" s="1"/>
  <c r="H11" i="15" s="1"/>
  <c r="W12" i="15"/>
  <c r="G12" i="15" s="1"/>
  <c r="H12" i="15" s="1"/>
  <c r="W13" i="15"/>
  <c r="G13" i="15" s="1"/>
  <c r="H13" i="15" s="1"/>
  <c r="W14" i="15"/>
  <c r="G14" i="15" s="1"/>
  <c r="H14" i="15" s="1"/>
  <c r="W15" i="15"/>
  <c r="G15" i="15" s="1"/>
  <c r="H15" i="15" s="1"/>
  <c r="W16" i="15"/>
  <c r="G16" i="15" s="1"/>
  <c r="H16" i="15" s="1"/>
  <c r="W17" i="15"/>
  <c r="G17" i="15" s="1"/>
  <c r="H17" i="15" s="1"/>
  <c r="W32" i="14"/>
  <c r="G32" i="14" s="1"/>
  <c r="H32" i="14" s="1"/>
  <c r="W24" i="14"/>
  <c r="G24" i="14" s="1"/>
  <c r="H24" i="14" s="1"/>
  <c r="W40" i="14"/>
  <c r="G40" i="14" s="1"/>
  <c r="H40" i="14" s="1"/>
  <c r="W29" i="14"/>
  <c r="G29" i="14" s="1"/>
  <c r="H29" i="14" s="1"/>
  <c r="W22" i="14"/>
  <c r="G22" i="14" s="1"/>
  <c r="H22" i="14" s="1"/>
  <c r="W28" i="14"/>
  <c r="G28" i="14" s="1"/>
  <c r="H28" i="14" s="1"/>
  <c r="W21" i="14"/>
  <c r="G21" i="14" s="1"/>
  <c r="H21" i="14" s="1"/>
  <c r="W26" i="14"/>
  <c r="G26" i="14" s="1"/>
  <c r="H26" i="14" s="1"/>
  <c r="W33" i="14"/>
  <c r="G33" i="14" s="1"/>
  <c r="H33" i="14" s="1"/>
  <c r="W38" i="14"/>
  <c r="G38" i="14" s="1"/>
  <c r="H38" i="14" s="1"/>
  <c r="W31" i="14"/>
  <c r="G31" i="14" s="1"/>
  <c r="H31" i="14" s="1"/>
  <c r="W23" i="14"/>
  <c r="G23" i="14" s="1"/>
  <c r="H23" i="14" s="1"/>
  <c r="W25" i="14"/>
  <c r="G25" i="14" s="1"/>
  <c r="H25" i="14" s="1"/>
  <c r="W19" i="14"/>
  <c r="G19" i="14" s="1"/>
  <c r="H19" i="14" s="1"/>
  <c r="W27" i="14"/>
  <c r="G27" i="14" s="1"/>
  <c r="H27" i="14" s="1"/>
  <c r="W30" i="14"/>
  <c r="G30" i="14" s="1"/>
  <c r="H30" i="14" s="1"/>
  <c r="W35" i="14"/>
  <c r="G35" i="14" s="1"/>
  <c r="H35" i="14" s="1"/>
  <c r="W36" i="14"/>
  <c r="G36" i="14" s="1"/>
  <c r="H36" i="14" s="1"/>
  <c r="W34" i="14"/>
  <c r="G34" i="14" s="1"/>
  <c r="H34" i="14" s="1"/>
  <c r="W20" i="14"/>
  <c r="G20" i="14" s="1"/>
  <c r="H20" i="14" s="1"/>
  <c r="W37" i="14"/>
  <c r="G37" i="14" s="1"/>
  <c r="H37" i="14" s="1"/>
  <c r="W39" i="14"/>
  <c r="G39" i="14" s="1"/>
  <c r="H39" i="14" s="1"/>
  <c r="W10" i="14"/>
  <c r="G10" i="14" s="1"/>
  <c r="W11" i="14"/>
  <c r="G11" i="14" s="1"/>
  <c r="H11" i="14" s="1"/>
  <c r="W12" i="14"/>
  <c r="G12" i="14" s="1"/>
  <c r="H12" i="14" s="1"/>
  <c r="W13" i="14"/>
  <c r="G13" i="14" s="1"/>
  <c r="H13" i="14" s="1"/>
  <c r="W14" i="14"/>
  <c r="G14" i="14" s="1"/>
  <c r="H14" i="14" s="1"/>
  <c r="W15" i="14"/>
  <c r="G15" i="14" s="1"/>
  <c r="H15" i="14" s="1"/>
  <c r="W16" i="14"/>
  <c r="G16" i="14" s="1"/>
  <c r="H16" i="14" s="1"/>
  <c r="W17" i="14"/>
  <c r="G17" i="14" s="1"/>
  <c r="H17" i="14" s="1"/>
  <c r="W18" i="14"/>
  <c r="G18" i="14" s="1"/>
  <c r="H18" i="14" s="1"/>
  <c r="W41" i="16" l="1"/>
  <c r="G10" i="16"/>
  <c r="W41" i="15"/>
  <c r="G10" i="15"/>
  <c r="W41" i="14"/>
  <c r="G41" i="14"/>
  <c r="H44" i="14" s="1"/>
  <c r="H10" i="14"/>
  <c r="H10" i="16" l="1"/>
  <c r="G41" i="16"/>
  <c r="H44" i="16" s="1"/>
  <c r="H10" i="15"/>
  <c r="G41" i="15"/>
  <c r="H44" i="15" s="1"/>
  <c r="O19" i="5" l="1"/>
  <c r="G9" i="5" l="1"/>
  <c r="P10" i="5" l="1"/>
  <c r="M10" i="5" s="1"/>
  <c r="E9" i="5"/>
  <c r="Y16" i="5"/>
  <c r="Y17" i="5"/>
  <c r="Y18" i="5"/>
  <c r="Y19" i="5"/>
  <c r="Y20" i="5"/>
  <c r="Y21" i="5"/>
  <c r="Z21" i="5" s="1" a="1"/>
  <c r="Z21" i="5" s="1"/>
  <c r="Y15" i="5"/>
  <c r="Y14" i="5"/>
  <c r="Y13" i="5"/>
  <c r="Y12" i="5"/>
  <c r="Y11" i="5"/>
  <c r="Y10" i="5"/>
  <c r="H43" i="5"/>
  <c r="Z10" i="5" l="1" a="1"/>
  <c r="Z10" i="5" s="1"/>
  <c r="Z11" i="5" a="1"/>
  <c r="Z11" i="5" s="1"/>
  <c r="Z12" i="5" a="1"/>
  <c r="Z12" i="5" s="1"/>
  <c r="R10" i="5"/>
  <c r="N10" i="5"/>
  <c r="O11" i="5"/>
  <c r="P11" i="5"/>
  <c r="Z13" i="5" a="1"/>
  <c r="Z13" i="5" s="1"/>
  <c r="Z14" i="5" a="1"/>
  <c r="Z14" i="5" s="1"/>
  <c r="Z16" i="5" a="1"/>
  <c r="Z16" i="5" s="1"/>
  <c r="Z17" i="5" a="1"/>
  <c r="Z17" i="5" s="1"/>
  <c r="Z20" i="5" a="1"/>
  <c r="Z20" i="5" s="1"/>
  <c r="Z18" i="5" a="1"/>
  <c r="Z18" i="5" s="1"/>
  <c r="Z15" i="5" a="1"/>
  <c r="Z15" i="5" s="1"/>
  <c r="Z19" i="5" a="1"/>
  <c r="Z19" i="5" s="1"/>
  <c r="M11" i="5" l="1"/>
  <c r="N11" i="5"/>
  <c r="P12" i="5"/>
  <c r="R11" i="5"/>
  <c r="O12" i="5"/>
  <c r="M12" i="5" l="1"/>
  <c r="N12" i="5"/>
  <c r="R12" i="5"/>
  <c r="P13" i="5"/>
  <c r="O13" i="5"/>
  <c r="M13" i="5" l="1"/>
  <c r="N13" i="5"/>
  <c r="P14" i="5"/>
  <c r="R13" i="5"/>
  <c r="O14" i="5"/>
  <c r="M14" i="5" s="1"/>
  <c r="N14" i="5" l="1"/>
  <c r="R14" i="5"/>
  <c r="P15" i="5"/>
  <c r="O15" i="5"/>
  <c r="M15" i="5" l="1"/>
  <c r="N15" i="5"/>
  <c r="R15" i="5"/>
  <c r="P16" i="5"/>
  <c r="O16" i="5"/>
  <c r="M16" i="5" s="1"/>
  <c r="N16" i="5" l="1"/>
  <c r="R16" i="5"/>
  <c r="P17" i="5"/>
  <c r="O17" i="5"/>
  <c r="M17" i="5" s="1"/>
  <c r="N17" i="5" l="1"/>
  <c r="R18" i="5"/>
  <c r="R17" i="5"/>
  <c r="O18" i="5"/>
  <c r="M18" i="5" s="1"/>
  <c r="N18" i="5" l="1"/>
  <c r="C41" i="5" l="1"/>
  <c r="V41" i="5" l="1"/>
  <c r="F41" i="5"/>
  <c r="W25" i="5" l="1"/>
  <c r="W28" i="5"/>
  <c r="W31" i="5"/>
  <c r="W26" i="5"/>
  <c r="G26" i="5" s="1"/>
  <c r="H26" i="5" s="1"/>
  <c r="W30" i="5"/>
  <c r="G30" i="5" s="1"/>
  <c r="H30" i="5" s="1"/>
  <c r="W29" i="5"/>
  <c r="G29" i="5" s="1"/>
  <c r="H29" i="5" s="1"/>
  <c r="W27" i="5"/>
  <c r="G27" i="5" s="1"/>
  <c r="H27" i="5" s="1"/>
  <c r="W32" i="5"/>
  <c r="G32" i="5" s="1"/>
  <c r="H32" i="5" s="1"/>
  <c r="W33" i="5"/>
  <c r="W10" i="5"/>
  <c r="W11" i="5"/>
  <c r="G11" i="5" s="1"/>
  <c r="W16" i="5"/>
  <c r="G16" i="5" s="1"/>
  <c r="W24" i="5"/>
  <c r="G24" i="5" s="1"/>
  <c r="H24" i="5" s="1"/>
  <c r="W23" i="5"/>
  <c r="G23" i="5" s="1"/>
  <c r="H23" i="5" s="1"/>
  <c r="W18" i="5"/>
  <c r="G18" i="5" s="1"/>
  <c r="H18" i="5" s="1"/>
  <c r="W21" i="5"/>
  <c r="G21" i="5" s="1"/>
  <c r="H21" i="5" s="1"/>
  <c r="W17" i="5"/>
  <c r="W22" i="5"/>
  <c r="W20" i="5"/>
  <c r="G20" i="5" s="1"/>
  <c r="H20" i="5" s="1"/>
  <c r="W19" i="5"/>
  <c r="G19" i="5" s="1"/>
  <c r="H19" i="5" s="1"/>
  <c r="W15" i="5"/>
  <c r="G15" i="5" s="1"/>
  <c r="H15" i="5" s="1"/>
  <c r="W14" i="5"/>
  <c r="G14" i="5" s="1"/>
  <c r="W13" i="5"/>
  <c r="G13" i="5" s="1"/>
  <c r="W12" i="5"/>
  <c r="G12" i="5" s="1"/>
  <c r="G25" i="5"/>
  <c r="H25" i="5" s="1"/>
  <c r="G33" i="5"/>
  <c r="H33" i="5" s="1"/>
  <c r="W37" i="5"/>
  <c r="G37" i="5" s="1"/>
  <c r="H37" i="5" s="1"/>
  <c r="G10" i="5"/>
  <c r="H10" i="5" s="1"/>
  <c r="G28" i="5"/>
  <c r="H28" i="5" s="1"/>
  <c r="W40" i="5"/>
  <c r="G40" i="5" s="1"/>
  <c r="H40" i="5" s="1"/>
  <c r="G31" i="5"/>
  <c r="H31" i="5" s="1"/>
  <c r="W35" i="5"/>
  <c r="G35" i="5" s="1"/>
  <c r="H35" i="5" s="1"/>
  <c r="W36" i="5"/>
  <c r="G36" i="5" s="1"/>
  <c r="H36" i="5" s="1"/>
  <c r="W34" i="5"/>
  <c r="G34" i="5" s="1"/>
  <c r="H34" i="5" s="1"/>
  <c r="W38" i="5"/>
  <c r="G38" i="5" s="1"/>
  <c r="H38" i="5" s="1"/>
  <c r="G17" i="5"/>
  <c r="H17" i="5" s="1"/>
  <c r="G22" i="5"/>
  <c r="H22" i="5" s="1"/>
  <c r="W39" i="5"/>
  <c r="G39" i="5" s="1"/>
  <c r="H39" i="5" s="1"/>
  <c r="W41" i="5" l="1"/>
  <c r="H16" i="5"/>
  <c r="H11" i="5"/>
  <c r="H12" i="5"/>
  <c r="H13" i="5"/>
  <c r="H14" i="5"/>
  <c r="G41" i="5" l="1"/>
  <c r="H44" i="5"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<sst xmlns="http://schemas.openxmlformats.org/spreadsheetml/2006/main" count="295" uniqueCount="162">
  <si>
    <t>Totales</t>
  </si>
  <si>
    <t>Ft Premio a distribuir/mes</t>
  </si>
  <si>
    <t>Meses</t>
  </si>
  <si>
    <t>Promedio</t>
  </si>
  <si>
    <t>Nicaragua</t>
  </si>
  <si>
    <t>CM</t>
  </si>
  <si>
    <t>CO</t>
  </si>
  <si>
    <t>DO</t>
  </si>
  <si>
    <t>GH</t>
  </si>
  <si>
    <t>CI</t>
  </si>
  <si>
    <t>MX</t>
  </si>
  <si>
    <t>NI</t>
  </si>
  <si>
    <t># días laborados/ semana</t>
  </si>
  <si>
    <t># trababaja- dores por banda salarial</t>
  </si>
  <si>
    <r>
      <t xml:space="preserve">Herramienta 3.1.3_2025 para el cálculo de distribución de Premio Fairtrade
</t>
    </r>
    <r>
      <rPr>
        <b/>
        <sz val="20"/>
        <color theme="1"/>
        <rFont val="Arial Black"/>
        <family val="2"/>
      </rPr>
      <t>COLOMBIA</t>
    </r>
  </si>
  <si>
    <t>30% del Premio Fairtrade recibido por la plantación :</t>
  </si>
  <si>
    <t>Make Multiple Dependent Dropdown Lists in Excel (Easiest Method)</t>
  </si>
  <si>
    <t>Brecha/banda</t>
  </si>
  <si>
    <t>Número FLOID :</t>
  </si>
  <si>
    <t>México</t>
  </si>
  <si>
    <t>pesos/mes</t>
  </si>
  <si>
    <t>córdobas/mes</t>
  </si>
  <si>
    <t>cedis/month</t>
  </si>
  <si>
    <t>CA CFA francs/mois</t>
  </si>
  <si>
    <t>WA CFA francs/mois</t>
  </si>
  <si>
    <t>pesos</t>
  </si>
  <si>
    <t>Definición de 
"Salario Básico"</t>
  </si>
  <si>
    <t>*</t>
  </si>
  <si>
    <t>córdobas</t>
  </si>
  <si>
    <t>cedis</t>
  </si>
  <si>
    <t>CA CFA francs</t>
  </si>
  <si>
    <t>Mín</t>
  </si>
  <si>
    <t>Máx</t>
  </si>
  <si>
    <t>Lista_meses</t>
  </si>
  <si>
    <t>Lista_días</t>
  </si>
  <si>
    <t>Periodo de tiempo en el que se ha generado el Premio Fairtrade, recibido por la plantación, y que se va a distribuir según el Criterio 3.1.4 (en meses) :</t>
  </si>
  <si>
    <t>Area cultivada (en hectáreas) :</t>
  </si>
  <si>
    <r>
      <t xml:space="preserve">Tool 3.1.3_2025 for calculating the Fairtrade Premium disbursement
</t>
    </r>
    <r>
      <rPr>
        <b/>
        <sz val="20"/>
        <color theme="1"/>
        <rFont val="Arial Black"/>
        <family val="2"/>
      </rPr>
      <t>GHANA</t>
    </r>
  </si>
  <si>
    <t>FLOID number :</t>
  </si>
  <si>
    <t>Time period in which the Fairtrade Premium, received by the plantation, has been generated and is to be distributed according to Standard 3.1.4 (in months) :</t>
  </si>
  <si>
    <t>Area under cultivation (in hectares) :</t>
  </si>
  <si>
    <t>Definition of 
"Basic Wage"</t>
  </si>
  <si>
    <r>
      <t xml:space="preserve">Basic Wage Bands
</t>
    </r>
    <r>
      <rPr>
        <sz val="11"/>
        <color theme="1"/>
        <rFont val="Calibri"/>
        <family val="2"/>
        <scheme val="minor"/>
      </rPr>
      <t>(which are below the Basic Living Wage Benchmark)</t>
    </r>
  </si>
  <si>
    <r>
      <t xml:space="preserve">Bandas de Salario Básico
</t>
    </r>
    <r>
      <rPr>
        <sz val="11"/>
        <color theme="1"/>
        <rFont val="Calibri"/>
        <family val="2"/>
        <scheme val="minor"/>
      </rPr>
      <t>(que están por debajo del Salario Digno de Referencia básico)</t>
    </r>
  </si>
  <si>
    <t>nr worked days/ week</t>
  </si>
  <si>
    <t>nr workers/ wage band</t>
  </si>
  <si>
    <r>
      <rPr>
        <b/>
        <sz val="11"/>
        <color theme="1"/>
        <rFont val="Calibri"/>
        <family val="2"/>
        <scheme val="minor"/>
      </rPr>
      <t>FTE</t>
    </r>
    <r>
      <rPr>
        <b/>
        <sz val="9"/>
        <color theme="1"/>
        <rFont val="Calibri"/>
        <family val="2"/>
        <scheme val="minor"/>
      </rPr>
      <t xml:space="preserve">
(nr workers in full time equivalent)</t>
    </r>
  </si>
  <si>
    <r>
      <rPr>
        <b/>
        <sz val="11"/>
        <color theme="1"/>
        <rFont val="Calibri"/>
        <family val="2"/>
        <scheme val="minor"/>
      </rPr>
      <t>FTE</t>
    </r>
    <r>
      <rPr>
        <b/>
        <sz val="9"/>
        <color theme="1"/>
        <rFont val="Calibri"/>
        <family val="2"/>
        <scheme val="minor"/>
      </rPr>
      <t xml:space="preserve">
(# trabajadores equivalente a tiempo completo)</t>
    </r>
  </si>
  <si>
    <t>Total</t>
  </si>
  <si>
    <t>Fairtade Premium to disburse/month</t>
  </si>
  <si>
    <t>30% of Fairtrade Premium received by plantation :</t>
  </si>
  <si>
    <t>Maximum amount of Fairtrade Premium to disburse :</t>
  </si>
  <si>
    <t>Máximo monto del Premio Fairtrade a distribuir :</t>
  </si>
  <si>
    <t xml:space="preserve">   The "basic wage" (also known as "gross wage", "basic gross", "basic contribution income", etc.), is the monthly amount that is taken as the basis for calculating withholdings, deductions, income taxes, and benefits, which are ruled by Law. It is the amount: 
  - BEFORE applying them, and
  - BEFORE considering any in kind benefits, granted to workers.
</t>
  </si>
  <si>
    <t xml:space="preserve">   El "salario básico" (también conocido como "salario bruto", "base bruto", "ingreso básico de cotización", etc.), es la cantidad mensual que se toma como base para calcular las retenciones, deducciones, impuestos sobre ingresos, y prestaciones, que rigen por Ley. Es el importe:
  ·   ANTES de aplicarlos, y 
  ·   ANTES de considerar cualquier beneficio/prestación en especie, concedidas a los trabajadores.</t>
  </si>
  <si>
    <t>Nombre de FLOID :</t>
  </si>
  <si>
    <t>Période au cours de laquelle la Prime Fairtrade, reçue par la plantation, a été générée et doit être distribuée conformément au standard 3.1.4 (en mois) :</t>
  </si>
  <si>
    <t>Superficie cultivée (en hectares) :</t>
  </si>
  <si>
    <t>Définition du 
"Salaire de base"</t>
  </si>
  <si>
    <t xml:space="preserve">   Le « salaire de base » (également appelé « salaire brut », « brut de base », « revenu de contribution de base », etc.) est le montant mensuel qui sert de base au calcul des retenues, des déductions, des impôts sur le revenu et des prestations, qui sont régis par la loi. Il s'agit du montant : 
  - AVANT de les appliquer, et
  - AVANT de prendre en compte les avantages en nature accordés aux travailleurs.
</t>
  </si>
  <si>
    <r>
      <t xml:space="preserve">Fourchettes de salaires de base
</t>
    </r>
    <r>
      <rPr>
        <sz val="11"/>
        <color theme="1"/>
        <rFont val="Calibri"/>
        <family val="2"/>
        <scheme val="minor"/>
      </rPr>
      <t>(qui sont inférieures à l'indice de référence du salaire de base)</t>
    </r>
  </si>
  <si>
    <t>nr travailleurs/ fourchette salariale</t>
  </si>
  <si>
    <t>nr jours travaillés/ semaine</t>
  </si>
  <si>
    <r>
      <rPr>
        <b/>
        <sz val="11"/>
        <color theme="1"/>
        <rFont val="Calibri"/>
        <family val="2"/>
        <scheme val="minor"/>
      </rPr>
      <t>FTE</t>
    </r>
    <r>
      <rPr>
        <b/>
        <sz val="9"/>
        <color theme="1"/>
        <rFont val="Calibri"/>
        <family val="2"/>
        <scheme val="minor"/>
      </rPr>
      <t xml:space="preserve">
(nr travailleurs en équivalent temps plein)</t>
    </r>
  </si>
  <si>
    <t xml:space="preserve">Prime Fairtade à débourser/mois	</t>
  </si>
  <si>
    <t>30% de la Prime Fairtrade perçue par la plantation :</t>
  </si>
  <si>
    <t>Montant maximum de la Prime Fairtrade à débourser :</t>
  </si>
  <si>
    <r>
      <t xml:space="preserve">Herramienta 3.1.3_2025 para el cálculo de distribución de Premio Fairtrade
</t>
    </r>
    <r>
      <rPr>
        <b/>
        <sz val="20"/>
        <color theme="1"/>
        <rFont val="Arial Black"/>
        <family val="2"/>
      </rPr>
      <t>NICARAGUA</t>
    </r>
  </si>
  <si>
    <r>
      <t xml:space="preserve">Herramienta 3.1.3_2025 para el cálculo de distribución de Premio Fairtrade
</t>
    </r>
    <r>
      <rPr>
        <b/>
        <sz val="20"/>
        <color theme="1"/>
        <rFont val="Arial Black"/>
        <family val="2"/>
      </rPr>
      <t>REPÚBLICA DOMINICANA</t>
    </r>
  </si>
  <si>
    <r>
      <t xml:space="preserve">Herramienta 3.1.3_2025 para el cálculo de distribución de Premio Fairtrade
</t>
    </r>
    <r>
      <rPr>
        <b/>
        <sz val="20"/>
        <color theme="1"/>
        <rFont val="Arial Black"/>
        <family val="2"/>
      </rPr>
      <t>MÉXICO</t>
    </r>
  </si>
  <si>
    <t>Côte d'Ivoire</t>
  </si>
  <si>
    <t>Entre  113023  y  117999  WA CFA francs/mois</t>
  </si>
  <si>
    <t>Entre  118000  y  122999  WA CFA francs/mois</t>
  </si>
  <si>
    <t>Entre  123000  y  127999  WA CFA francs/mois</t>
  </si>
  <si>
    <t>Entre  128000  y  132999  WA CFA francs/mois</t>
  </si>
  <si>
    <t>Entre  133000  y  137999  WA CFA francs/mois</t>
  </si>
  <si>
    <t>Entre  138000  y  142999  WA CFA francs/mois</t>
  </si>
  <si>
    <t>Entre  143000  y  147999  WA CFA francs/mois</t>
  </si>
  <si>
    <t>Entre  148000  y  152999  WA CFA francs/mois</t>
  </si>
  <si>
    <t>Entre  153000  y  161227  WA CFA francs/mois</t>
  </si>
  <si>
    <t>Entre  2092  y  2199  cedis/month</t>
  </si>
  <si>
    <t>Entre  2200  y  2299  cedis/month</t>
  </si>
  <si>
    <t>Entre  2300  y  2399  cedis/month</t>
  </si>
  <si>
    <t>Entre  2400  y  2499  cedis/month</t>
  </si>
  <si>
    <t>Entre  2500  y  2599  cedis/month</t>
  </si>
  <si>
    <t>Entre  2600  y  2699  cedis/month</t>
  </si>
  <si>
    <t>Entre  2700  y  2799  cedis/month</t>
  </si>
  <si>
    <t>Entre  2800  y  2899  cedis/month</t>
  </si>
  <si>
    <t>Entre  2900  y  2988  cedis/month</t>
  </si>
  <si>
    <t>Entre  76124  y  79999  CA CFA francs/mois</t>
  </si>
  <si>
    <t>Entre  80000  y  83999  CA CFA francs/mois</t>
  </si>
  <si>
    <t>Entre  84000  y  87999  CA CFA francs/mois</t>
  </si>
  <si>
    <t>Entre  88000  y  91999  CA CFA francs/mois</t>
  </si>
  <si>
    <t>Entre  92000  y  95999  CA CFA francs/mois</t>
  </si>
  <si>
    <t>Entre  96000  y  99999  CA CFA francs/mois</t>
  </si>
  <si>
    <t>Entre  100000  y  103999  CA CFA francs/mois</t>
  </si>
  <si>
    <t>Entre  104000  y  107999  CA CFA francs/mois</t>
  </si>
  <si>
    <t>Entre  108000  y  108749  CA CFA francs/mois</t>
  </si>
  <si>
    <t>Entre  7553  y  7899  córdobas/mes</t>
  </si>
  <si>
    <t>Entre  7900  y  8199  córdobas/mes</t>
  </si>
  <si>
    <t>Entre  8200  y  8499  córdobas/mes</t>
  </si>
  <si>
    <t>Entre  8500  y  8799  córdobas/mes</t>
  </si>
  <si>
    <t>Entre  8800  y  9099  córdobas/mes</t>
  </si>
  <si>
    <t>Entre  9100  y  9399  córdobas/mes</t>
  </si>
  <si>
    <t>Entre  9400  y  9699  córdobas/mes</t>
  </si>
  <si>
    <t>Entre  9700  y  9999  córdobas/mes</t>
  </si>
  <si>
    <t>Entre  10000  y  10638  córdobas/mes</t>
  </si>
  <si>
    <t>Entre  8273  y  8699  pesos/mes</t>
  </si>
  <si>
    <t>Entre  8700  y  9099  pesos/mes</t>
  </si>
  <si>
    <t>Entre  9100  y  9499  pesos/mes</t>
  </si>
  <si>
    <t>Entre  9500  y  9899  pesos/mes</t>
  </si>
  <si>
    <t>Entre  9900  y  10299  pesos/mes</t>
  </si>
  <si>
    <t>Entre  10300  y  10699  pesos/mes</t>
  </si>
  <si>
    <t>Entre  10700  y  11099  pesos/mes</t>
  </si>
  <si>
    <t>Entre  11100  y  11499  pesos/mes</t>
  </si>
  <si>
    <t>Entre  11500  y  11819  pesos/mes</t>
  </si>
  <si>
    <t>Entre  16254  y  17099  pesos/mes</t>
  </si>
  <si>
    <t>Entre  17100  y  17899  pesos/mes</t>
  </si>
  <si>
    <t>Entre  17900  y  18699  pesos/mes</t>
  </si>
  <si>
    <t>Entre  18700  y  19499  pesos/mes</t>
  </si>
  <si>
    <t>Entre  19500  y  20299  pesos/mes</t>
  </si>
  <si>
    <t>Entre  20300  y  21099  pesos/mes</t>
  </si>
  <si>
    <t>Entre  21100  y  21899  pesos/mes</t>
  </si>
  <si>
    <t>Entre  21900  y  22699  pesos/mes</t>
  </si>
  <si>
    <t>Entre  22700  y  23221  pesos/mes</t>
  </si>
  <si>
    <t>Entre  1423500  y  1454999  pesos/mes</t>
  </si>
  <si>
    <t>Entre  1455000  y  1485999  pesos/mes</t>
  </si>
  <si>
    <t>Entre  1486000  y  1516999  pesos/mes</t>
  </si>
  <si>
    <t>Entre  1517000  y  1547999  pesos/mes</t>
  </si>
  <si>
    <t>Entre  1548000  y  1578999  pesos/mes</t>
  </si>
  <si>
    <t>Entre  1579000  y  1609999  pesos/mes</t>
  </si>
  <si>
    <t>Entre  1610000  y  1640999  pesos/mes</t>
  </si>
  <si>
    <t>Entre  1641000  y  1671999  pesos/mes</t>
  </si>
  <si>
    <t>Entre  1672000  y  1703986  pesos/mes</t>
  </si>
  <si>
    <t>English:</t>
  </si>
  <si>
    <t>Nombre Hoja:
Sheet name:
Nom Fiche:</t>
  </si>
  <si>
    <t>Colombia</t>
  </si>
  <si>
    <t>R. Dominicana</t>
  </si>
  <si>
    <t>Ghana</t>
  </si>
  <si>
    <t>Camerún</t>
  </si>
  <si>
    <t>Costa de Marfil</t>
  </si>
  <si>
    <t>D. Republic</t>
  </si>
  <si>
    <t>Mexico</t>
  </si>
  <si>
    <t>Cameroon</t>
  </si>
  <si>
    <t>Ivory Coast</t>
  </si>
  <si>
    <t>Colombie</t>
  </si>
  <si>
    <t>R. Dominicaine</t>
  </si>
  <si>
    <t>Mexique</t>
  </si>
  <si>
    <t>Cameroun</t>
  </si>
  <si>
    <t>Español:</t>
  </si>
  <si>
    <t>Français:</t>
  </si>
  <si>
    <r>
      <t xml:space="preserve">Outil 3.1.3_2025 pour le calcul du versement de la Prime Fairtrade
</t>
    </r>
    <r>
      <rPr>
        <b/>
        <sz val="20"/>
        <color theme="1"/>
        <rFont val="Arial Black"/>
        <family val="2"/>
      </rPr>
      <t>CAMEROUN</t>
    </r>
  </si>
  <si>
    <r>
      <t xml:space="preserve">Outil 3.1.3_2025 pour le calcul du versement de la Prime Fairtrade
</t>
    </r>
    <r>
      <rPr>
        <b/>
        <sz val="20"/>
        <color theme="1"/>
        <rFont val="Arial Black"/>
        <family val="2"/>
      </rPr>
      <t>CÔTE D'IVOIRE</t>
    </r>
  </si>
  <si>
    <r>
      <rPr>
        <b/>
        <sz val="11"/>
        <color theme="1"/>
        <rFont val="Calibri"/>
        <family val="2"/>
        <scheme val="minor"/>
      </rPr>
      <t>INSTRUCCIONES</t>
    </r>
    <r>
      <rPr>
        <sz val="11"/>
        <color theme="1"/>
        <rFont val="Calibri"/>
        <family val="2"/>
        <scheme val="minor"/>
      </rPr>
      <t>: Para acceder a la Herramienta 313, ingrese con un clic en la Hoja correspondiente al país.</t>
    </r>
  </si>
  <si>
    <r>
      <rPr>
        <b/>
        <sz val="11"/>
        <color theme="1"/>
        <rFont val="Calibri"/>
        <family val="2"/>
        <scheme val="minor"/>
      </rPr>
      <t>INSTRUCTIONS</t>
    </r>
    <r>
      <rPr>
        <sz val="11"/>
        <color theme="1"/>
        <rFont val="Calibri"/>
        <family val="2"/>
        <scheme val="minor"/>
      </rPr>
      <t>: To access Tool 313, click on the corresponding country Sheet.</t>
    </r>
  </si>
  <si>
    <r>
      <rPr>
        <b/>
        <sz val="11"/>
        <color theme="1"/>
        <rFont val="Calibri"/>
        <family val="2"/>
        <scheme val="minor"/>
      </rPr>
      <t>INSTRUCTIONS</t>
    </r>
    <r>
      <rPr>
        <sz val="11"/>
        <color theme="1"/>
        <rFont val="Calibri"/>
        <family val="2"/>
        <scheme val="minor"/>
      </rPr>
      <t>: Pour accéder au Outil 313, cliquez sur la Fiche pays correspondante.</t>
    </r>
  </si>
  <si>
    <r>
      <t xml:space="preserve">Herramienta 3.1.3_2025 </t>
    </r>
    <r>
      <rPr>
        <sz val="13"/>
        <color theme="1"/>
        <rFont val="Calibri"/>
        <family val="2"/>
        <scheme val="minor"/>
      </rPr>
      <t>para el cálculo de distribución de Premio Fairtrade</t>
    </r>
  </si>
  <si>
    <r>
      <t xml:space="preserve">Tool 3.1.3_2025 </t>
    </r>
    <r>
      <rPr>
        <sz val="13"/>
        <color theme="1"/>
        <rFont val="Calibri"/>
        <family val="2"/>
        <scheme val="minor"/>
      </rPr>
      <t>for calculating the Fairtrade Premium disbursement</t>
    </r>
  </si>
  <si>
    <r>
      <t xml:space="preserve">Outil 3.1.3_2025 </t>
    </r>
    <r>
      <rPr>
        <sz val="13"/>
        <color theme="1"/>
        <rFont val="Calibri"/>
        <family val="2"/>
        <scheme val="minor"/>
      </rPr>
      <t>pour le calcul du versement de la Prime Fairtrade</t>
    </r>
  </si>
  <si>
    <r>
      <rPr>
        <sz val="14"/>
        <color rgb="FFFF0000"/>
        <rFont val="Calibri"/>
        <family val="2"/>
        <scheme val="minor"/>
      </rPr>
      <t>*</t>
    </r>
    <r>
      <rPr>
        <i/>
        <sz val="11"/>
        <color rgb="FFFF0000"/>
        <rFont val="Calibri"/>
        <family val="2"/>
        <scheme val="minor"/>
      </rPr>
      <t xml:space="preserve"> obligatorio</t>
    </r>
  </si>
  <si>
    <r>
      <rPr>
        <sz val="14"/>
        <color rgb="FFFF0000"/>
        <rFont val="Calibri"/>
        <family val="2"/>
        <scheme val="minor"/>
      </rPr>
      <t>*</t>
    </r>
    <r>
      <rPr>
        <i/>
        <sz val="9"/>
        <color rgb="FFFF0000"/>
        <rFont val="Calibri"/>
        <family val="2"/>
        <scheme val="minor"/>
      </rPr>
      <t xml:space="preserve"> </t>
    </r>
    <r>
      <rPr>
        <i/>
        <sz val="11"/>
        <color rgb="FFFF0000"/>
        <rFont val="Calibri"/>
        <family val="2"/>
        <scheme val="minor"/>
      </rPr>
      <t>obligatoire</t>
    </r>
  </si>
  <si>
    <r>
      <rPr>
        <sz val="14"/>
        <color rgb="FFFF0000"/>
        <rFont val="Calibri"/>
        <family val="2"/>
        <scheme val="minor"/>
      </rPr>
      <t>*</t>
    </r>
    <r>
      <rPr>
        <i/>
        <sz val="9"/>
        <color rgb="FFFF0000"/>
        <rFont val="Calibri"/>
        <family val="2"/>
        <scheme val="minor"/>
      </rPr>
      <t xml:space="preserve"> </t>
    </r>
    <r>
      <rPr>
        <i/>
        <sz val="11"/>
        <color rgb="FFFF0000"/>
        <rFont val="Calibri"/>
        <family val="2"/>
        <scheme val="minor"/>
      </rPr>
      <t>compulsory</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</si>
</sst>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_ ;\-#,##0\ "/>
    <numFmt numFmtId="166" formatCode="0.0"/>
    <numFmt numFmtId="167" formatCode="0.0%"/>
  </numFmts>
  <fonts count="26" x14ac:knownFonts="1">
    <font>
      <sz val="11"/>
      <color theme="1"/>
      <name val="Calibri"/>
      <family val="2"/>
      <scheme val="minor"/>
    </font>
    <font>
      <sz val="11"/>
      <color theme="1"/>
      <name val="Calibri"/>
      <family val="2"/>
      <scheme val="minor"/>
    </font>
    <font>
      <b/>
      <sz val="11"/>
      <color theme="1"/>
      <name val="Calibri"/>
      <family val="2"/>
      <scheme val="minor"/>
    </font>
    <font>
      <sz val="11"/>
      <name val="Calibri"/>
      <family val="2"/>
      <scheme val="minor"/>
    </font>
    <font>
      <b/>
      <sz val="14"/>
      <color theme="1"/>
      <name val="Calibri"/>
      <family val="2"/>
      <scheme val="minor"/>
    </font>
    <font>
      <b/>
      <sz val="11"/>
      <name val="Calibri"/>
      <family val="2"/>
      <scheme val="minor"/>
    </font>
    <font>
      <sz val="12"/>
      <name val="Calibri"/>
      <family val="2"/>
      <scheme val="minor"/>
    </font>
    <font>
      <b/>
      <sz val="9"/>
      <color theme="1"/>
      <name val="Calibri"/>
      <family val="2"/>
      <scheme val="minor"/>
    </font>
    <font>
      <b/>
      <sz val="10"/>
      <color theme="1"/>
      <name val="Calibri"/>
      <family val="2"/>
      <scheme val="minor"/>
    </font>
    <font>
      <b/>
      <sz val="11"/>
      <color rgb="FFFF0000"/>
      <name val="Calibri"/>
      <family val="2"/>
      <scheme val="minor"/>
    </font>
    <font>
      <b/>
      <sz val="20"/>
      <color theme="1"/>
      <name val="Arial Black"/>
      <family val="2"/>
    </font>
    <font>
      <u/>
      <sz val="11"/>
      <color theme="10"/>
      <name val="Calibri"/>
      <family val="2"/>
      <scheme val="minor"/>
    </font>
    <font>
      <b/>
      <sz val="10"/>
      <name val="Calibri"/>
      <family val="2"/>
      <scheme val="minor"/>
    </font>
    <font>
      <sz val="11"/>
      <color rgb="FF0070C0"/>
      <name val="Calibri"/>
      <family val="2"/>
      <scheme val="minor"/>
    </font>
    <font>
      <b/>
      <sz val="11"/>
      <color rgb="FF0070C0"/>
      <name val="Calibri"/>
      <family val="2"/>
      <scheme val="minor"/>
    </font>
    <font>
      <i/>
      <sz val="9"/>
      <name val="Calibri"/>
      <family val="2"/>
      <scheme val="minor"/>
    </font>
    <font>
      <b/>
      <sz val="10"/>
      <color rgb="FFC00000"/>
      <name val="Calibri"/>
      <family val="2"/>
      <scheme val="minor"/>
    </font>
    <font>
      <b/>
      <sz val="11"/>
      <color rgb="FFC00000"/>
      <name val="Calibri"/>
      <family val="2"/>
      <scheme val="minor"/>
    </font>
    <font>
      <sz val="8"/>
      <name val="Calibri"/>
      <family val="2"/>
      <scheme val="minor"/>
    </font>
    <font>
      <b/>
      <u/>
      <sz val="24"/>
      <color theme="10"/>
      <name val="Arial Black"/>
      <family val="2"/>
    </font>
    <font>
      <b/>
      <sz val="13"/>
      <color theme="1"/>
      <name val="Calibri"/>
      <family val="2"/>
      <scheme val="minor"/>
    </font>
    <font>
      <sz val="13"/>
      <color theme="1"/>
      <name val="Calibri"/>
      <family val="2"/>
      <scheme val="minor"/>
    </font>
    <font>
      <sz val="9"/>
      <color theme="1"/>
      <name val="Calibri"/>
      <family val="2"/>
      <scheme val="minor"/>
    </font>
    <font>
      <i/>
      <sz val="9"/>
      <color rgb="FFFF0000"/>
      <name val="Calibri"/>
      <family val="2"/>
      <scheme val="minor"/>
    </font>
    <font>
      <sz val="14"/>
      <color rgb="FFFF0000"/>
      <name val="Calibri"/>
      <family val="2"/>
      <scheme val="minor"/>
    </font>
    <font>
      <i/>
      <sz val="11"/>
      <color rgb="FFFF0000"/>
      <name val="Calibri"/>
      <family val="2"/>
      <scheme val="minor"/>
    </font>
  </fonts>
  <fills count="5">
    <fill>
      <patternFill patternType="none"/>
    </fill>
    <fill>
      <patternFill patternType="gray125"/>
    </fill>
    <fill>
      <patternFill patternType="solid">
        <fgColor theme="9" tint="0.39997558519241921"/>
        <bgColor indexed="64"/>
      </patternFill>
    </fill>
    <fill>
      <patternFill patternType="solid">
        <fgColor theme="0"/>
        <bgColor indexed="64"/>
      </patternFill>
    </fill>
    <fill>
      <patternFill patternType="solid">
        <fgColor theme="9" tint="0.59999389629810485"/>
        <bgColor indexed="64"/>
      </patternFill>
    </fill>
  </fills>
  <borders count="34">
    <border>
      <left/>
      <right/>
      <top/>
      <bottom/>
      <diagonal/>
    </border>
    <border>
      <left style="medium">
        <color auto="1"/>
      </left>
      <right style="medium">
        <color auto="1"/>
      </right>
      <top style="medium">
        <color auto="1"/>
      </top>
      <bottom style="medium">
        <color auto="1"/>
      </bottom>
      <diagonal/>
    </border>
    <border>
      <left style="medium">
        <color auto="1"/>
      </left>
      <right style="medium">
        <color auto="1"/>
      </right>
      <top/>
      <bottom style="thin">
        <color auto="1"/>
      </bottom>
      <diagonal/>
    </border>
    <border>
      <left style="medium">
        <color auto="1"/>
      </left>
      <right style="medium">
        <color auto="1"/>
      </right>
      <top style="thin">
        <color auto="1"/>
      </top>
      <bottom style="thin">
        <color auto="1"/>
      </bottom>
      <diagonal/>
    </border>
    <border>
      <left style="medium">
        <color auto="1"/>
      </left>
      <right style="medium">
        <color auto="1"/>
      </right>
      <top style="thin">
        <color auto="1"/>
      </top>
      <bottom/>
      <diagonal/>
    </border>
    <border>
      <left style="medium">
        <color auto="1"/>
      </left>
      <right/>
      <top/>
      <bottom style="medium">
        <color auto="1"/>
      </bottom>
      <diagonal/>
    </border>
    <border>
      <left/>
      <right style="medium">
        <color auto="1"/>
      </right>
      <top style="medium">
        <color auto="1"/>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top style="medium">
        <color auto="1"/>
      </top>
      <bottom/>
      <diagonal/>
    </border>
    <border>
      <left/>
      <right style="medium">
        <color auto="1"/>
      </right>
      <top/>
      <bottom style="medium">
        <color auto="1"/>
      </bottom>
      <diagonal/>
    </border>
    <border>
      <left/>
      <right style="medium">
        <color auto="1"/>
      </right>
      <top style="thin">
        <color auto="1"/>
      </top>
      <bottom style="thin">
        <color auto="1"/>
      </bottom>
      <diagonal/>
    </border>
    <border>
      <left style="medium">
        <color auto="1"/>
      </left>
      <right style="medium">
        <color auto="1"/>
      </right>
      <top/>
      <bottom style="medium">
        <color auto="1"/>
      </bottom>
      <diagonal/>
    </border>
    <border>
      <left/>
      <right style="medium">
        <color auto="1"/>
      </right>
      <top/>
      <bottom style="thin">
        <color auto="1"/>
      </bottom>
      <diagonal/>
    </border>
    <border>
      <left style="medium">
        <color auto="1"/>
      </left>
      <right style="medium">
        <color auto="1"/>
      </right>
      <top style="medium">
        <color auto="1"/>
      </top>
      <bottom style="thin">
        <color auto="1"/>
      </bottom>
      <diagonal/>
    </border>
    <border>
      <left style="medium">
        <color auto="1"/>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style="medium">
        <color auto="1"/>
      </right>
      <top/>
      <bottom/>
      <diagonal/>
    </border>
    <border>
      <left style="thin">
        <color indexed="64"/>
      </left>
      <right style="thin">
        <color indexed="64"/>
      </right>
      <top style="thin">
        <color indexed="64"/>
      </top>
      <bottom style="thin">
        <color indexed="64"/>
      </bottom>
      <diagonal/>
    </border>
    <border>
      <left/>
      <right/>
      <top style="medium">
        <color auto="1"/>
      </top>
      <bottom/>
      <diagonal/>
    </border>
    <border>
      <left/>
      <right/>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right/>
      <top/>
      <bottom style="thin">
        <color indexed="64"/>
      </bottom>
      <diagonal/>
    </border>
    <border>
      <left/>
      <right/>
      <top style="thin">
        <color indexed="64"/>
      </top>
      <bottom style="thin">
        <color indexed="64"/>
      </bottom>
      <diagonal/>
    </border>
  </borders>
  <cellStyleXfs count="4">
    <xf numFmtId="0" fontId="0" fillId="0" borderId="0"/>
    <xf numFmtId="164" fontId="1" fillId="0" borderId="0" applyFont="0" applyFill="0" applyBorder="0" applyAlignment="0" applyProtection="0"/>
    <xf numFmtId="9" fontId="1" fillId="0" borderId="0" applyFont="0" applyFill="0" applyBorder="0" applyAlignment="0" applyProtection="0"/>
    <xf numFmtId="0" fontId="11" fillId="0" borderId="0" applyNumberFormat="0" applyFill="0" applyBorder="0" applyAlignment="0" applyProtection="0"/>
  </cellStyleXfs>
  <cellXfs count="146">
    <xf numFmtId="0" fontId="0" fillId="0" borderId="0" xfId="0"/>
    <xf numFmtId="0" fontId="0" fillId="0" borderId="2" xfId="0" applyBorder="1" applyAlignment="1" applyProtection="1">
      <alignment horizontal="center" vertical="center"/>
      <protection locked="0"/>
    </xf>
    <xf numFmtId="0" fontId="0" fillId="0" borderId="3" xfId="0" applyBorder="1" applyAlignment="1" applyProtection="1">
      <alignment horizontal="center" vertical="center"/>
      <protection locked="0"/>
    </xf>
    <xf numFmtId="0" fontId="0" fillId="0" borderId="4" xfId="0" applyBorder="1" applyAlignment="1" applyProtection="1">
      <alignment horizontal="center" vertical="center"/>
      <protection locked="0"/>
    </xf>
    <xf numFmtId="0" fontId="3" fillId="0" borderId="0" xfId="0" applyFont="1"/>
    <xf numFmtId="0" fontId="0" fillId="0" borderId="14" xfId="0" applyBorder="1" applyAlignment="1" applyProtection="1">
      <alignment horizontal="center" vertical="center"/>
      <protection locked="0"/>
    </xf>
    <xf numFmtId="166" fontId="0" fillId="0" borderId="15" xfId="0" applyNumberFormat="1" applyBorder="1" applyAlignment="1" applyProtection="1">
      <alignment horizontal="center" vertical="center"/>
      <protection locked="0"/>
    </xf>
    <xf numFmtId="166" fontId="0" fillId="0" borderId="2" xfId="0" applyNumberFormat="1" applyBorder="1" applyAlignment="1" applyProtection="1">
      <alignment horizontal="center" vertical="center"/>
      <protection locked="0"/>
    </xf>
    <xf numFmtId="0" fontId="3" fillId="0" borderId="0" xfId="0" applyFont="1" applyAlignment="1" applyProtection="1">
      <alignment horizontal="center" vertical="center"/>
      <protection locked="0"/>
    </xf>
    <xf numFmtId="167" fontId="3" fillId="0" borderId="0" xfId="0" applyNumberFormat="1" applyFont="1" applyAlignment="1">
      <alignment horizontal="center" vertical="center"/>
    </xf>
    <xf numFmtId="166" fontId="3" fillId="0" borderId="0" xfId="0" applyNumberFormat="1" applyFont="1" applyAlignment="1">
      <alignment horizontal="center" vertical="center"/>
    </xf>
    <xf numFmtId="0" fontId="3" fillId="0" borderId="0" xfId="0" applyFont="1" applyAlignment="1">
      <alignment horizontal="center" vertical="center"/>
    </xf>
    <xf numFmtId="167" fontId="3" fillId="0" borderId="0" xfId="2" applyNumberFormat="1" applyFont="1" applyAlignment="1">
      <alignment horizontal="center" vertical="center"/>
    </xf>
    <xf numFmtId="3" fontId="0" fillId="0" borderId="2" xfId="1" applyNumberFormat="1" applyFont="1" applyBorder="1" applyAlignment="1" applyProtection="1">
      <alignment horizontal="left" vertical="center" indent="1" shrinkToFit="1"/>
      <protection locked="0"/>
    </xf>
    <xf numFmtId="3" fontId="0" fillId="0" borderId="3" xfId="1" applyNumberFormat="1" applyFont="1" applyBorder="1" applyAlignment="1" applyProtection="1">
      <alignment horizontal="left" vertical="center" indent="1" shrinkToFit="1"/>
      <protection locked="0"/>
    </xf>
    <xf numFmtId="3" fontId="3" fillId="0" borderId="0" xfId="0" applyNumberFormat="1" applyFont="1" applyAlignment="1">
      <alignment horizontal="right" vertical="center"/>
    </xf>
    <xf numFmtId="3" fontId="5" fillId="0" borderId="0" xfId="0" applyNumberFormat="1" applyFont="1" applyAlignment="1">
      <alignment horizontal="right" vertical="center"/>
    </xf>
    <xf numFmtId="0" fontId="0" fillId="2" borderId="0" xfId="0" applyFill="1"/>
    <xf numFmtId="0" fontId="3" fillId="0" borderId="0" xfId="0" applyFont="1" applyAlignment="1">
      <alignment horizontal="right"/>
    </xf>
    <xf numFmtId="3" fontId="2" fillId="3" borderId="1" xfId="0" applyNumberFormat="1" applyFont="1" applyFill="1" applyBorder="1" applyAlignment="1" applyProtection="1">
      <alignment horizontal="right" vertical="center" indent="1"/>
      <protection locked="0"/>
    </xf>
    <xf numFmtId="3" fontId="2" fillId="0" borderId="1" xfId="0" applyNumberFormat="1" applyFont="1" applyBorder="1" applyAlignment="1" applyProtection="1">
      <alignment horizontal="right" vertical="center" indent="1"/>
      <protection locked="0"/>
    </xf>
    <xf numFmtId="0" fontId="3" fillId="0" borderId="0" xfId="0" applyFont="1" applyAlignment="1">
      <alignment horizontal="center"/>
    </xf>
    <xf numFmtId="0" fontId="2" fillId="3" borderId="9" xfId="0" applyFont="1" applyFill="1" applyBorder="1" applyAlignment="1" applyProtection="1">
      <alignment horizontal="right" indent="1"/>
      <protection locked="0"/>
    </xf>
    <xf numFmtId="0" fontId="0" fillId="2" borderId="0" xfId="0" applyFill="1" applyAlignment="1">
      <alignment vertical="center"/>
    </xf>
    <xf numFmtId="0" fontId="0" fillId="2" borderId="10" xfId="0" applyFill="1" applyBorder="1"/>
    <xf numFmtId="0" fontId="0" fillId="2" borderId="21" xfId="0" applyFill="1" applyBorder="1"/>
    <xf numFmtId="0" fontId="0" fillId="2" borderId="6" xfId="0" applyFill="1" applyBorder="1"/>
    <xf numFmtId="0" fontId="0" fillId="2" borderId="17" xfId="0" applyFill="1" applyBorder="1"/>
    <xf numFmtId="0" fontId="4" fillId="2" borderId="0" xfId="0" applyFont="1" applyFill="1" applyAlignment="1">
      <alignment horizontal="center" vertical="center"/>
    </xf>
    <xf numFmtId="0" fontId="0" fillId="2" borderId="18" xfId="0" applyFill="1" applyBorder="1"/>
    <xf numFmtId="3" fontId="2" fillId="2" borderId="0" xfId="0" applyNumberFormat="1" applyFont="1" applyFill="1" applyAlignment="1" applyProtection="1">
      <alignment horizontal="center" vertical="center"/>
      <protection locked="0"/>
    </xf>
    <xf numFmtId="0" fontId="0" fillId="2" borderId="0" xfId="0" applyFill="1" applyAlignment="1">
      <alignment horizontal="left" vertical="center"/>
    </xf>
    <xf numFmtId="0" fontId="2" fillId="2" borderId="0" xfId="0" applyFont="1" applyFill="1" applyAlignment="1" applyProtection="1">
      <alignment horizontal="right" vertical="center"/>
      <protection hidden="1"/>
    </xf>
    <xf numFmtId="0" fontId="2" fillId="2" borderId="0" xfId="0" applyFont="1" applyFill="1" applyAlignment="1" applyProtection="1">
      <alignment horizontal="center" vertical="center" wrapText="1"/>
      <protection hidden="1"/>
    </xf>
    <xf numFmtId="0" fontId="3" fillId="2" borderId="18" xfId="0" applyFont="1" applyFill="1" applyBorder="1" applyAlignment="1">
      <alignment horizontal="center" vertical="center"/>
    </xf>
    <xf numFmtId="165" fontId="0" fillId="2" borderId="0" xfId="0" applyNumberFormat="1" applyFill="1" applyAlignment="1" applyProtection="1">
      <alignment horizontal="center" vertical="center"/>
      <protection hidden="1"/>
    </xf>
    <xf numFmtId="0" fontId="3" fillId="2" borderId="0" xfId="0" applyFont="1" applyFill="1" applyAlignment="1">
      <alignment horizontal="center" vertical="center"/>
    </xf>
    <xf numFmtId="3" fontId="0" fillId="2" borderId="0" xfId="0" applyNumberFormat="1" applyFill="1"/>
    <xf numFmtId="3" fontId="2" fillId="2" borderId="0" xfId="0" applyNumberFormat="1" applyFont="1" applyFill="1" applyAlignment="1" applyProtection="1">
      <alignment horizontal="center" vertical="center"/>
      <protection hidden="1"/>
    </xf>
    <xf numFmtId="0" fontId="0" fillId="2" borderId="5" xfId="0" applyFill="1" applyBorder="1"/>
    <xf numFmtId="0" fontId="0" fillId="2" borderId="22" xfId="0" applyFill="1" applyBorder="1"/>
    <xf numFmtId="0" fontId="0" fillId="2" borderId="11" xfId="0" applyFill="1" applyBorder="1"/>
    <xf numFmtId="0" fontId="13" fillId="0" borderId="0" xfId="0" applyFont="1" applyAlignment="1">
      <alignment horizontal="right"/>
    </xf>
    <xf numFmtId="0" fontId="13" fillId="0" borderId="0" xfId="0" applyFont="1" applyAlignment="1">
      <alignment horizontal="center"/>
    </xf>
    <xf numFmtId="0" fontId="15" fillId="2" borderId="0" xfId="0" applyFont="1" applyFill="1" applyAlignment="1">
      <alignment horizontal="left" vertical="center"/>
    </xf>
    <xf numFmtId="3" fontId="2" fillId="2" borderId="0" xfId="0" applyNumberFormat="1" applyFont="1" applyFill="1" applyAlignment="1" applyProtection="1">
      <alignment horizontal="left" vertical="center"/>
      <protection hidden="1"/>
    </xf>
    <xf numFmtId="0" fontId="13" fillId="0" borderId="0" xfId="0" applyFont="1"/>
    <xf numFmtId="0" fontId="5" fillId="0" borderId="0" xfId="0" applyFont="1" applyAlignment="1">
      <alignment horizontal="left"/>
    </xf>
    <xf numFmtId="0" fontId="3" fillId="0" borderId="0" xfId="0" applyFont="1" applyAlignment="1">
      <alignment horizontal="left"/>
    </xf>
    <xf numFmtId="0" fontId="11" fillId="0" borderId="0" xfId="3" applyBorder="1" applyAlignment="1">
      <alignment horizontal="left"/>
    </xf>
    <xf numFmtId="3" fontId="3" fillId="0" borderId="0" xfId="0" applyNumberFormat="1" applyFont="1" applyAlignment="1">
      <alignment horizontal="center"/>
    </xf>
    <xf numFmtId="0" fontId="9" fillId="0" borderId="0" xfId="0" applyFont="1" applyAlignment="1">
      <alignment horizontal="left"/>
    </xf>
    <xf numFmtId="3" fontId="6" fillId="0" borderId="0" xfId="1" applyNumberFormat="1" applyFont="1" applyFill="1" applyBorder="1" applyAlignment="1">
      <alignment horizontal="left"/>
    </xf>
    <xf numFmtId="3" fontId="6" fillId="0" borderId="0" xfId="1" applyNumberFormat="1" applyFont="1" applyFill="1" applyBorder="1" applyAlignment="1">
      <alignment horizontal="center"/>
    </xf>
    <xf numFmtId="3" fontId="9" fillId="0" borderId="0" xfId="0" applyNumberFormat="1" applyFont="1" applyAlignment="1">
      <alignment horizontal="right"/>
    </xf>
    <xf numFmtId="3" fontId="13" fillId="0" borderId="0" xfId="0" applyNumberFormat="1" applyFont="1" applyAlignment="1">
      <alignment horizontal="right"/>
    </xf>
    <xf numFmtId="3" fontId="13" fillId="0" borderId="0" xfId="0" applyNumberFormat="1" applyFont="1"/>
    <xf numFmtId="3" fontId="14" fillId="0" borderId="0" xfId="0" applyNumberFormat="1" applyFont="1" applyAlignment="1">
      <alignment horizontal="right"/>
    </xf>
    <xf numFmtId="3" fontId="14" fillId="0" borderId="20" xfId="0" applyNumberFormat="1" applyFont="1" applyBorder="1" applyAlignment="1">
      <alignment horizontal="center"/>
    </xf>
    <xf numFmtId="3" fontId="3" fillId="0" borderId="0" xfId="0" applyNumberFormat="1" applyFont="1"/>
    <xf numFmtId="0" fontId="0" fillId="3" borderId="0" xfId="0" applyFill="1"/>
    <xf numFmtId="0" fontId="4" fillId="3" borderId="31" xfId="0" applyFont="1" applyFill="1" applyBorder="1" applyAlignment="1">
      <alignment vertical="center"/>
    </xf>
    <xf numFmtId="0" fontId="2" fillId="3" borderId="26" xfId="0" applyFont="1" applyFill="1" applyBorder="1" applyAlignment="1">
      <alignment vertical="center"/>
    </xf>
    <xf numFmtId="0" fontId="0" fillId="3" borderId="0" xfId="0" applyFill="1" applyAlignment="1">
      <alignment vertical="center"/>
    </xf>
    <xf numFmtId="0" fontId="4" fillId="3" borderId="0" xfId="0" applyFont="1" applyFill="1" applyAlignment="1">
      <alignment vertical="center"/>
    </xf>
    <xf numFmtId="0" fontId="2" fillId="3" borderId="28" xfId="0" applyFont="1" applyFill="1" applyBorder="1" applyAlignment="1">
      <alignment vertical="center"/>
    </xf>
    <xf numFmtId="0" fontId="4" fillId="3" borderId="32" xfId="0" applyFont="1" applyFill="1" applyBorder="1" applyAlignment="1">
      <alignment vertical="center"/>
    </xf>
    <xf numFmtId="0" fontId="2" fillId="3" borderId="30" xfId="0" applyFont="1" applyFill="1" applyBorder="1" applyAlignment="1">
      <alignment vertical="center"/>
    </xf>
    <xf numFmtId="0" fontId="0" fillId="3" borderId="31" xfId="0" applyFill="1" applyBorder="1" applyAlignment="1">
      <alignment vertical="center"/>
    </xf>
    <xf numFmtId="0" fontId="0" fillId="3" borderId="26" xfId="0" applyFill="1" applyBorder="1" applyAlignment="1">
      <alignment vertical="center"/>
    </xf>
    <xf numFmtId="0" fontId="17" fillId="3" borderId="0" xfId="0" applyFont="1" applyFill="1" applyAlignment="1">
      <alignment vertical="center"/>
    </xf>
    <xf numFmtId="0" fontId="0" fillId="3" borderId="28" xfId="0" applyFill="1" applyBorder="1" applyAlignment="1">
      <alignment vertical="center"/>
    </xf>
    <xf numFmtId="0" fontId="0" fillId="3" borderId="32" xfId="0" applyFill="1" applyBorder="1" applyAlignment="1">
      <alignment vertical="center"/>
    </xf>
    <xf numFmtId="0" fontId="17" fillId="3" borderId="32" xfId="0" applyFont="1" applyFill="1" applyBorder="1" applyAlignment="1">
      <alignment vertical="center"/>
    </xf>
    <xf numFmtId="0" fontId="0" fillId="3" borderId="30" xfId="0" applyFill="1" applyBorder="1" applyAlignment="1">
      <alignment vertical="center"/>
    </xf>
    <xf numFmtId="0" fontId="0" fillId="3" borderId="25" xfId="0" applyFill="1" applyBorder="1" applyAlignment="1">
      <alignment horizontal="center" vertical="center"/>
    </xf>
    <xf numFmtId="0" fontId="0" fillId="3" borderId="31" xfId="0" applyFill="1" applyBorder="1" applyAlignment="1">
      <alignment horizontal="center" vertical="center"/>
    </xf>
    <xf numFmtId="0" fontId="0" fillId="3" borderId="26" xfId="0" applyFill="1" applyBorder="1" applyAlignment="1">
      <alignment horizontal="center" vertical="center"/>
    </xf>
    <xf numFmtId="0" fontId="0" fillId="3" borderId="23" xfId="0" applyFill="1" applyBorder="1" applyAlignment="1">
      <alignment horizontal="center" vertical="center"/>
    </xf>
    <xf numFmtId="0" fontId="0" fillId="3" borderId="33" xfId="0" applyFill="1" applyBorder="1" applyAlignment="1">
      <alignment horizontal="center" vertical="center"/>
    </xf>
    <xf numFmtId="0" fontId="0" fillId="3" borderId="24" xfId="0" applyFill="1" applyBorder="1" applyAlignment="1">
      <alignment horizontal="center" vertical="center"/>
    </xf>
    <xf numFmtId="0" fontId="0" fillId="3" borderId="29" xfId="0" applyFill="1" applyBorder="1" applyAlignment="1">
      <alignment horizontal="center" vertical="center"/>
    </xf>
    <xf numFmtId="0" fontId="0" fillId="3" borderId="32" xfId="0" applyFill="1" applyBorder="1" applyAlignment="1">
      <alignment horizontal="center" vertical="center"/>
    </xf>
    <xf numFmtId="0" fontId="0" fillId="3" borderId="30" xfId="0" applyFill="1" applyBorder="1" applyAlignment="1">
      <alignment horizontal="center" vertical="center"/>
    </xf>
    <xf numFmtId="0" fontId="0" fillId="3" borderId="25" xfId="0" applyFill="1" applyBorder="1" applyAlignment="1" applyProtection="1">
      <alignment vertical="center"/>
      <protection hidden="1"/>
    </xf>
    <xf numFmtId="0" fontId="0" fillId="3" borderId="27" xfId="0" applyFill="1" applyBorder="1" applyAlignment="1" applyProtection="1">
      <alignment vertical="center"/>
      <protection hidden="1"/>
    </xf>
    <xf numFmtId="0" fontId="0" fillId="3" borderId="29" xfId="0" applyFill="1" applyBorder="1" applyAlignment="1" applyProtection="1">
      <alignment vertical="center"/>
      <protection hidden="1"/>
    </xf>
    <xf numFmtId="0" fontId="0" fillId="2" borderId="0" xfId="0" applyFill="1" applyProtection="1">
      <protection hidden="1"/>
    </xf>
    <xf numFmtId="0" fontId="0" fillId="3" borderId="20" xfId="0" applyFill="1" applyBorder="1" applyAlignment="1" applyProtection="1">
      <alignment wrapText="1"/>
      <protection hidden="1"/>
    </xf>
    <xf numFmtId="0" fontId="0" fillId="3" borderId="20" xfId="0" applyFill="1" applyBorder="1" applyAlignment="1" applyProtection="1">
      <alignment vertical="center"/>
      <protection hidden="1"/>
    </xf>
    <xf numFmtId="0" fontId="19" fillId="3" borderId="20" xfId="3" applyFont="1" applyFill="1" applyBorder="1" applyAlignment="1">
      <alignment horizontal="center" vertical="center"/>
    </xf>
    <xf numFmtId="0" fontId="20" fillId="3" borderId="31" xfId="0" applyFont="1" applyFill="1" applyBorder="1" applyAlignment="1">
      <alignment vertical="center"/>
    </xf>
    <xf numFmtId="0" fontId="20" fillId="3" borderId="0" xfId="0" applyFont="1" applyFill="1" applyAlignment="1">
      <alignment vertical="center"/>
    </xf>
    <xf numFmtId="0" fontId="20" fillId="3" borderId="32" xfId="0" applyFont="1" applyFill="1" applyBorder="1" applyAlignment="1">
      <alignment vertical="center"/>
    </xf>
    <xf numFmtId="0" fontId="2" fillId="4" borderId="1" xfId="0" applyFont="1" applyFill="1" applyBorder="1" applyAlignment="1" applyProtection="1">
      <alignment horizontal="center" vertical="top" wrapText="1"/>
      <protection hidden="1"/>
    </xf>
    <xf numFmtId="0" fontId="8" fillId="4" borderId="7" xfId="0" applyFont="1" applyFill="1" applyBorder="1" applyAlignment="1" applyProtection="1">
      <alignment horizontal="center" vertical="top" wrapText="1"/>
      <protection hidden="1"/>
    </xf>
    <xf numFmtId="0" fontId="7" fillId="4" borderId="7" xfId="0" applyFont="1" applyFill="1" applyBorder="1" applyAlignment="1" applyProtection="1">
      <alignment horizontal="center" vertical="top" wrapText="1"/>
      <protection hidden="1"/>
    </xf>
    <xf numFmtId="0" fontId="2" fillId="4" borderId="7" xfId="0" applyFont="1" applyFill="1" applyBorder="1" applyAlignment="1" applyProtection="1">
      <alignment horizontal="center" vertical="top" wrapText="1"/>
      <protection hidden="1"/>
    </xf>
    <xf numFmtId="0" fontId="16" fillId="4" borderId="1" xfId="0" applyFont="1" applyFill="1" applyBorder="1" applyAlignment="1" applyProtection="1">
      <alignment horizontal="center" vertical="top" wrapText="1"/>
      <protection hidden="1"/>
    </xf>
    <xf numFmtId="3" fontId="2" fillId="4" borderId="1" xfId="1" applyNumberFormat="1" applyFont="1" applyFill="1" applyBorder="1" applyAlignment="1" applyProtection="1">
      <alignment horizontal="right" vertical="center" indent="1"/>
      <protection hidden="1"/>
    </xf>
    <xf numFmtId="164" fontId="2" fillId="4" borderId="1" xfId="1" applyFont="1" applyFill="1" applyBorder="1" applyAlignment="1" applyProtection="1">
      <alignment horizontal="center" vertical="center"/>
      <protection hidden="1"/>
    </xf>
    <xf numFmtId="1" fontId="2" fillId="4" borderId="1" xfId="0" applyNumberFormat="1" applyFont="1" applyFill="1" applyBorder="1" applyAlignment="1" applyProtection="1">
      <alignment horizontal="center" vertical="center"/>
      <protection hidden="1"/>
    </xf>
    <xf numFmtId="1" fontId="2" fillId="4" borderId="9" xfId="0" applyNumberFormat="1" applyFont="1" applyFill="1" applyBorder="1" applyAlignment="1" applyProtection="1">
      <alignment horizontal="center" vertical="center"/>
      <protection hidden="1"/>
    </xf>
    <xf numFmtId="3" fontId="2" fillId="4" borderId="1" xfId="1" applyNumberFormat="1" applyFont="1" applyFill="1" applyBorder="1" applyAlignment="1" applyProtection="1">
      <alignment horizontal="center" vertical="center"/>
      <protection hidden="1"/>
    </xf>
    <xf numFmtId="3" fontId="2" fillId="4" borderId="1" xfId="0" applyNumberFormat="1" applyFont="1" applyFill="1" applyBorder="1" applyAlignment="1" applyProtection="1">
      <alignment horizontal="center" vertical="center"/>
      <protection hidden="1"/>
    </xf>
    <xf numFmtId="166" fontId="0" fillId="4" borderId="14" xfId="0" applyNumberFormat="1" applyFill="1" applyBorder="1" applyAlignment="1" applyProtection="1">
      <alignment horizontal="center" vertical="center"/>
      <protection hidden="1"/>
    </xf>
    <xf numFmtId="165" fontId="0" fillId="4" borderId="12" xfId="0" applyNumberFormat="1" applyFill="1" applyBorder="1" applyAlignment="1" applyProtection="1">
      <alignment horizontal="center" vertical="center"/>
      <protection hidden="1"/>
    </xf>
    <xf numFmtId="165" fontId="0" fillId="4" borderId="2" xfId="0" applyNumberFormat="1" applyFill="1" applyBorder="1" applyAlignment="1" applyProtection="1">
      <alignment horizontal="center" vertical="center"/>
      <protection hidden="1"/>
    </xf>
    <xf numFmtId="3" fontId="5" fillId="0" borderId="0" xfId="0" applyNumberFormat="1" applyFont="1" applyAlignment="1">
      <alignment horizontal="left"/>
    </xf>
    <xf numFmtId="3" fontId="14" fillId="0" borderId="0" xfId="0" applyNumberFormat="1" applyFont="1" applyAlignment="1">
      <alignment horizontal="center"/>
    </xf>
    <xf numFmtId="3" fontId="22" fillId="3" borderId="0" xfId="0" applyNumberFormat="1" applyFont="1" applyFill="1" applyAlignment="1" applyProtection="1">
      <alignment vertical="center"/>
      <protection locked="0"/>
    </xf>
    <xf numFmtId="3" fontId="22" fillId="3" borderId="0" xfId="0" applyNumberFormat="1" applyFont="1" applyFill="1" applyAlignment="1" applyProtection="1">
      <alignment horizontal="left" vertical="center"/>
      <protection locked="0"/>
    </xf>
    <xf numFmtId="0" fontId="23" fillId="2" borderId="0" xfId="0" applyFont="1" applyFill="1" applyAlignment="1">
      <alignment horizontal="left" vertical="center"/>
    </xf>
    <xf numFmtId="0" fontId="24" fillId="2" borderId="0" xfId="0" applyFont="1" applyFill="1" applyAlignment="1">
      <alignment horizontal="left" vertical="center"/>
    </xf>
    <xf numFmtId="0" fontId="25" fillId="2" borderId="0" xfId="0" applyFont="1" applyFill="1" applyAlignment="1">
      <alignment horizontal="left" vertical="center"/>
    </xf>
    <xf numFmtId="3" fontId="22" fillId="3" borderId="0" xfId="0" applyNumberFormat="1" applyFont="1" applyFill="1" applyAlignment="1" applyProtection="1">
      <alignment horizontal="center" vertical="center"/>
      <protection locked="0"/>
    </xf>
    <xf numFmtId="0" fontId="4" fillId="4" borderId="16" xfId="0" applyFont="1" applyFill="1" applyBorder="1" applyAlignment="1" applyProtection="1">
      <alignment horizontal="center" vertical="center" wrapText="1"/>
      <protection hidden="1"/>
    </xf>
    <xf numFmtId="0" fontId="4" fillId="4" borderId="13" xfId="0" applyFont="1" applyFill="1" applyBorder="1" applyAlignment="1" applyProtection="1">
      <alignment horizontal="center" vertical="center" wrapText="1"/>
      <protection hidden="1"/>
    </xf>
    <xf numFmtId="0" fontId="12" fillId="4" borderId="16" xfId="0" quotePrefix="1" applyFont="1" applyFill="1" applyBorder="1" applyAlignment="1" applyProtection="1">
      <alignment horizontal="left" vertical="center" wrapText="1" indent="1"/>
      <protection hidden="1"/>
    </xf>
    <xf numFmtId="0" fontId="12" fillId="4" borderId="19" xfId="0" quotePrefix="1" applyFont="1" applyFill="1" applyBorder="1" applyAlignment="1" applyProtection="1">
      <alignment horizontal="left" vertical="center" wrapText="1" indent="1"/>
      <protection hidden="1"/>
    </xf>
    <xf numFmtId="0" fontId="12" fillId="4" borderId="13" xfId="0" quotePrefix="1" applyFont="1" applyFill="1" applyBorder="1" applyAlignment="1" applyProtection="1">
      <alignment horizontal="left" vertical="center" wrapText="1" indent="1"/>
      <protection hidden="1"/>
    </xf>
    <xf numFmtId="0" fontId="4" fillId="4" borderId="7" xfId="0" applyFont="1" applyFill="1" applyBorder="1" applyAlignment="1">
      <alignment horizontal="center" vertical="center" wrapText="1"/>
    </xf>
    <xf numFmtId="0" fontId="4" fillId="4" borderId="8" xfId="0" applyFont="1" applyFill="1" applyBorder="1" applyAlignment="1">
      <alignment horizontal="center" vertical="center"/>
    </xf>
    <xf numFmtId="0" fontId="4" fillId="4" borderId="9" xfId="0" applyFont="1" applyFill="1" applyBorder="1" applyAlignment="1">
      <alignment horizontal="center" vertical="center"/>
    </xf>
    <xf numFmtId="9" fontId="2" fillId="4" borderId="7" xfId="2" applyFont="1" applyFill="1" applyBorder="1" applyAlignment="1" applyProtection="1">
      <alignment horizontal="right" vertical="center"/>
      <protection hidden="1"/>
    </xf>
    <xf numFmtId="9" fontId="2" fillId="4" borderId="8" xfId="2" applyFont="1" applyFill="1" applyBorder="1" applyAlignment="1" applyProtection="1">
      <alignment horizontal="right" vertical="center"/>
      <protection hidden="1"/>
    </xf>
    <xf numFmtId="9" fontId="2" fillId="4" borderId="9" xfId="2" applyFont="1" applyFill="1" applyBorder="1" applyAlignment="1" applyProtection="1">
      <alignment horizontal="right" vertical="center"/>
      <protection hidden="1"/>
    </xf>
    <xf numFmtId="0" fontId="2" fillId="4" borderId="7" xfId="0" applyFont="1" applyFill="1" applyBorder="1" applyAlignment="1" applyProtection="1">
      <alignment horizontal="right" vertical="center"/>
      <protection hidden="1"/>
    </xf>
    <xf numFmtId="0" fontId="2" fillId="4" borderId="8" xfId="0" applyFont="1" applyFill="1" applyBorder="1" applyAlignment="1" applyProtection="1">
      <alignment horizontal="right" vertical="center"/>
      <protection hidden="1"/>
    </xf>
    <xf numFmtId="0" fontId="2" fillId="4" borderId="9" xfId="0" applyFont="1" applyFill="1" applyBorder="1" applyAlignment="1" applyProtection="1">
      <alignment horizontal="right" vertical="center"/>
      <protection hidden="1"/>
    </xf>
    <xf numFmtId="0" fontId="2" fillId="4" borderId="10" xfId="0" applyFont="1" applyFill="1" applyBorder="1" applyAlignment="1" applyProtection="1">
      <alignment horizontal="center" vertical="center"/>
      <protection hidden="1"/>
    </xf>
    <xf numFmtId="0" fontId="2" fillId="4" borderId="6" xfId="0" applyFont="1" applyFill="1" applyBorder="1" applyAlignment="1" applyProtection="1">
      <alignment horizontal="center" vertical="center"/>
      <protection hidden="1"/>
    </xf>
    <xf numFmtId="0" fontId="2" fillId="4" borderId="5" xfId="0" applyFont="1" applyFill="1" applyBorder="1" applyAlignment="1" applyProtection="1">
      <alignment horizontal="center" vertical="center"/>
      <protection hidden="1"/>
    </xf>
    <xf numFmtId="0" fontId="2" fillId="4" borderId="11" xfId="0" applyFont="1" applyFill="1" applyBorder="1" applyAlignment="1" applyProtection="1">
      <alignment horizontal="center" vertical="center"/>
      <protection hidden="1"/>
    </xf>
    <xf numFmtId="3" fontId="12" fillId="4" borderId="7" xfId="0" applyNumberFormat="1" applyFont="1" applyFill="1" applyBorder="1" applyAlignment="1" applyProtection="1">
      <alignment horizontal="right" vertical="center" wrapText="1" indent="1"/>
      <protection hidden="1"/>
    </xf>
    <xf numFmtId="3" fontId="12" fillId="4" borderId="9" xfId="0" applyNumberFormat="1" applyFont="1" applyFill="1" applyBorder="1" applyAlignment="1" applyProtection="1">
      <alignment horizontal="right" vertical="center" wrapText="1" indent="1"/>
      <protection hidden="1"/>
    </xf>
    <xf numFmtId="0" fontId="8" fillId="4" borderId="7" xfId="0" applyFont="1" applyFill="1" applyBorder="1" applyAlignment="1" applyProtection="1">
      <alignment horizontal="right" vertical="center" indent="1"/>
      <protection hidden="1"/>
    </xf>
    <xf numFmtId="0" fontId="8" fillId="4" borderId="9" xfId="0" applyFont="1" applyFill="1" applyBorder="1" applyAlignment="1" applyProtection="1">
      <alignment horizontal="right" vertical="center" indent="1"/>
      <protection hidden="1"/>
    </xf>
    <xf numFmtId="3" fontId="8" fillId="4" borderId="7" xfId="0" applyNumberFormat="1" applyFont="1" applyFill="1" applyBorder="1" applyAlignment="1" applyProtection="1">
      <alignment horizontal="right" vertical="center" wrapText="1" indent="1"/>
      <protection hidden="1"/>
    </xf>
    <xf numFmtId="3" fontId="8" fillId="4" borderId="9" xfId="0" applyNumberFormat="1" applyFont="1" applyFill="1" applyBorder="1" applyAlignment="1" applyProtection="1">
      <alignment horizontal="right" vertical="center" wrapText="1" indent="1"/>
      <protection hidden="1"/>
    </xf>
    <xf numFmtId="0" fontId="12" fillId="4" borderId="7" xfId="0" applyFont="1" applyFill="1" applyBorder="1" applyAlignment="1" applyProtection="1">
      <alignment horizontal="right" vertical="center" indent="1"/>
      <protection hidden="1"/>
    </xf>
    <xf numFmtId="0" fontId="12" fillId="4" borderId="9" xfId="0" applyFont="1" applyFill="1" applyBorder="1" applyAlignment="1" applyProtection="1">
      <alignment horizontal="right" vertical="center" indent="1"/>
      <protection hidden="1"/>
    </xf>
    <xf numFmtId="0" fontId="8" fillId="4" borderId="7" xfId="0" applyFont="1" applyFill="1" applyBorder="1" applyAlignment="1" applyProtection="1">
      <alignment horizontal="right" vertical="center" wrapText="1" indent="1"/>
      <protection hidden="1"/>
    </xf>
    <xf numFmtId="0" fontId="8" fillId="4" borderId="9" xfId="0" applyFont="1" applyFill="1" applyBorder="1" applyAlignment="1" applyProtection="1">
      <alignment horizontal="right" vertical="center" wrapText="1" indent="1"/>
      <protection hidden="1"/>
    </xf>
    <xf numFmtId="3" fontId="8" fillId="4" borderId="7" xfId="0" applyNumberFormat="1" applyFont="1" applyFill="1" applyBorder="1" applyAlignment="1" applyProtection="1">
      <alignment horizontal="right" vertical="center" indent="1"/>
      <protection hidden="1"/>
    </xf>
    <xf numFmtId="3" fontId="8" fillId="4" borderId="9" xfId="0" applyNumberFormat="1" applyFont="1" applyFill="1" applyBorder="1" applyAlignment="1" applyProtection="1">
      <alignment horizontal="right" vertical="center" indent="1"/>
      <protection hidden="1"/>
    </xf>
  </cellXfs>
  <cellStyles count="4">
    <cellStyle name="Comma" xfId="1" builtinId="3"/>
    <cellStyle name="Hyperlink" xfId="3" builtinId="8"/>
    <cellStyle name="Normal" xfId="0" builtinId="0"/>
    <cellStyle name="Percent" xfId="2" builtinId="5"/>
  </cellStyles>
  <dxfs count="7">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s>
  <tableStyles count="0" defaultTableStyle="TableStyleMedium2" defaultPivotStyle="PivotStyleLight16"/>
  <colors>
    <mruColors>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eetMetadata" Target="metadata.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_rels/drawing3.xml.rels><?xml version="1.0" encoding="UTF-8" standalone="yes"?>
<Relationships xmlns="http://schemas.openxmlformats.org/package/2006/relationships"><Relationship Id="rId1" Type="http://schemas.openxmlformats.org/officeDocument/2006/relationships/image" Target="../media/image1.emf"/></Relationships>
</file>

<file path=xl/drawings/_rels/drawing4.xml.rels><?xml version="1.0" encoding="UTF-8" standalone="yes"?>
<Relationships xmlns="http://schemas.openxmlformats.org/package/2006/relationships"><Relationship Id="rId1" Type="http://schemas.openxmlformats.org/officeDocument/2006/relationships/image" Target="../media/image1.emf"/></Relationships>
</file>

<file path=xl/drawings/_rels/drawing5.xml.rels><?xml version="1.0" encoding="UTF-8" standalone="yes"?>
<Relationships xmlns="http://schemas.openxmlformats.org/package/2006/relationships"><Relationship Id="rId1" Type="http://schemas.openxmlformats.org/officeDocument/2006/relationships/image" Target="../media/image1.emf"/></Relationships>
</file>

<file path=xl/drawings/_rels/drawing6.xml.rels><?xml version="1.0" encoding="UTF-8" standalone="yes"?>
<Relationships xmlns="http://schemas.openxmlformats.org/package/2006/relationships"><Relationship Id="rId1" Type="http://schemas.openxmlformats.org/officeDocument/2006/relationships/image" Target="../media/image1.emf"/></Relationships>
</file>

<file path=xl/drawings/_rels/drawing7.xml.rels><?xml version="1.0" encoding="UTF-8" standalone="yes"?>
<Relationships xmlns="http://schemas.openxmlformats.org/package/2006/relationships"><Relationship Id="rId1" Type="http://schemas.openxmlformats.org/officeDocument/2006/relationships/image" Target="../media/image1.emf"/></Relationships>
</file>

<file path=xl/drawings/_rels/drawing8.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8</xdr:col>
      <xdr:colOff>174312</xdr:colOff>
      <xdr:row>1</xdr:row>
      <xdr:rowOff>15557</xdr:rowOff>
    </xdr:from>
    <xdr:to>
      <xdr:col>8</xdr:col>
      <xdr:colOff>825500</xdr:colOff>
      <xdr:row>4</xdr:row>
      <xdr:rowOff>2646</xdr:rowOff>
    </xdr:to>
    <xdr:pic>
      <xdr:nvPicPr>
        <xdr:cNvPr id="2" name="Picture 1" descr="X:\Brand\_Brand_Management\Brand_Strategy\_FINALS\_Collateral\Letterhead_NEW_201403\FBM_INT_VERT_RGB_POS.emf">
          <a:extLst>
            <a:ext uri="{FF2B5EF4-FFF2-40B4-BE49-F238E27FC236}">
              <a16:creationId xmlns:a16="http://schemas.microsoft.com/office/drawing/2014/main" id="{C89F4A2C-7CA5-4ECC-B1E0-9A9B68A7329F}"/>
            </a:ext>
          </a:extLst>
        </xdr:cNvPr>
        <xdr:cNvPicPr>
          <a:picLocks noChangeAspect="1"/>
        </xdr:cNvPicPr>
      </xdr:nvPicPr>
      <xdr:blipFill>
        <a:blip xmlns:r="http://schemas.openxmlformats.org/officeDocument/2006/relationships" r:embed="rId1" cstate="email">
          <a:extLst>
            <a:ext uri="{28A0092B-C50C-407E-A947-70E740481C1C}">
              <a14:useLocalDpi xmlns:a14="http://schemas.microsoft.com/office/drawing/2010/main"/>
            </a:ext>
          </a:extLst>
        </a:blip>
        <a:srcRect/>
        <a:stretch>
          <a:fillRect/>
        </a:stretch>
      </xdr:blipFill>
      <xdr:spPr bwMode="auto">
        <a:xfrm>
          <a:off x="7057712" y="218757"/>
          <a:ext cx="651188" cy="749089"/>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34290</xdr:colOff>
      <xdr:row>1</xdr:row>
      <xdr:rowOff>34290</xdr:rowOff>
    </xdr:from>
    <xdr:to>
      <xdr:col>1</xdr:col>
      <xdr:colOff>476635</xdr:colOff>
      <xdr:row>1</xdr:row>
      <xdr:rowOff>551922</xdr:rowOff>
    </xdr:to>
    <xdr:pic>
      <xdr:nvPicPr>
        <xdr:cNvPr id="3" name="Picture 2" descr="X:\Brand\_Brand_Management\Brand_Strategy\_FINALS\_Collateral\Letterhead_NEW_201403\FBM_INT_VERT_RGB_POS.emf">
          <a:extLst>
            <a:ext uri="{FF2B5EF4-FFF2-40B4-BE49-F238E27FC236}">
              <a16:creationId xmlns:a16="http://schemas.microsoft.com/office/drawing/2014/main" id="{53010525-E825-4C48-B061-C89A8B93892C}"/>
            </a:ext>
          </a:extLst>
        </xdr:cNvPr>
        <xdr:cNvPicPr>
          <a:picLocks noChangeAspect="1"/>
        </xdr:cNvPicPr>
      </xdr:nvPicPr>
      <xdr:blipFill>
        <a:blip xmlns:r="http://schemas.openxmlformats.org/officeDocument/2006/relationships" r:embed="rId1" cstate="email">
          <a:extLst>
            <a:ext uri="{28A0092B-C50C-407E-A947-70E740481C1C}">
              <a14:useLocalDpi xmlns:a14="http://schemas.microsoft.com/office/drawing/2010/main"/>
            </a:ext>
          </a:extLst>
        </a:blip>
        <a:srcRect/>
        <a:stretch>
          <a:fillRect/>
        </a:stretch>
      </xdr:blipFill>
      <xdr:spPr bwMode="auto">
        <a:xfrm>
          <a:off x="148590" y="148590"/>
          <a:ext cx="438535" cy="521442"/>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34290</xdr:colOff>
      <xdr:row>1</xdr:row>
      <xdr:rowOff>34290</xdr:rowOff>
    </xdr:from>
    <xdr:to>
      <xdr:col>1</xdr:col>
      <xdr:colOff>472825</xdr:colOff>
      <xdr:row>1</xdr:row>
      <xdr:rowOff>555732</xdr:rowOff>
    </xdr:to>
    <xdr:pic>
      <xdr:nvPicPr>
        <xdr:cNvPr id="3" name="Picture 2" descr="X:\Brand\_Brand_Management\Brand_Strategy\_FINALS\_Collateral\Letterhead_NEW_201403\FBM_INT_VERT_RGB_POS.emf">
          <a:extLst>
            <a:ext uri="{FF2B5EF4-FFF2-40B4-BE49-F238E27FC236}">
              <a16:creationId xmlns:a16="http://schemas.microsoft.com/office/drawing/2014/main" id="{0C6297EF-DEE0-4634-90DF-6CF0AA1D86A9}"/>
            </a:ext>
          </a:extLst>
        </xdr:cNvPr>
        <xdr:cNvPicPr>
          <a:picLocks noChangeAspect="1"/>
        </xdr:cNvPicPr>
      </xdr:nvPicPr>
      <xdr:blipFill>
        <a:blip xmlns:r="http://schemas.openxmlformats.org/officeDocument/2006/relationships" r:embed="rId1" cstate="email">
          <a:extLst>
            <a:ext uri="{28A0092B-C50C-407E-A947-70E740481C1C}">
              <a14:useLocalDpi xmlns:a14="http://schemas.microsoft.com/office/drawing/2010/main"/>
            </a:ext>
          </a:extLst>
        </a:blip>
        <a:srcRect/>
        <a:stretch>
          <a:fillRect/>
        </a:stretch>
      </xdr:blipFill>
      <xdr:spPr bwMode="auto">
        <a:xfrm>
          <a:off x="148590" y="148590"/>
          <a:ext cx="438535" cy="521442"/>
        </a:xfrm>
        <a:prstGeom prst="rect">
          <a:avLst/>
        </a:prstGeom>
        <a:noFill/>
        <a:ln w="9525">
          <a:noFill/>
          <a:miter lim="800000"/>
          <a:headEnd/>
          <a:tailEnd/>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34290</xdr:colOff>
      <xdr:row>1</xdr:row>
      <xdr:rowOff>34290</xdr:rowOff>
    </xdr:from>
    <xdr:to>
      <xdr:col>1</xdr:col>
      <xdr:colOff>472825</xdr:colOff>
      <xdr:row>1</xdr:row>
      <xdr:rowOff>555732</xdr:rowOff>
    </xdr:to>
    <xdr:pic>
      <xdr:nvPicPr>
        <xdr:cNvPr id="4" name="Picture 3" descr="X:\Brand\_Brand_Management\Brand_Strategy\_FINALS\_Collateral\Letterhead_NEW_201403\FBM_INT_VERT_RGB_POS.emf">
          <a:extLst>
            <a:ext uri="{FF2B5EF4-FFF2-40B4-BE49-F238E27FC236}">
              <a16:creationId xmlns:a16="http://schemas.microsoft.com/office/drawing/2014/main" id="{FF3F3B84-4DE7-4B22-A6C4-25675CC653E4}"/>
            </a:ext>
          </a:extLst>
        </xdr:cNvPr>
        <xdr:cNvPicPr>
          <a:picLocks noChangeAspect="1"/>
        </xdr:cNvPicPr>
      </xdr:nvPicPr>
      <xdr:blipFill>
        <a:blip xmlns:r="http://schemas.openxmlformats.org/officeDocument/2006/relationships" r:embed="rId1" cstate="email">
          <a:extLst>
            <a:ext uri="{28A0092B-C50C-407E-A947-70E740481C1C}">
              <a14:useLocalDpi xmlns:a14="http://schemas.microsoft.com/office/drawing/2010/main"/>
            </a:ext>
          </a:extLst>
        </a:blip>
        <a:srcRect/>
        <a:stretch>
          <a:fillRect/>
        </a:stretch>
      </xdr:blipFill>
      <xdr:spPr bwMode="auto">
        <a:xfrm>
          <a:off x="148590" y="148590"/>
          <a:ext cx="438535" cy="521442"/>
        </a:xfrm>
        <a:prstGeom prst="rect">
          <a:avLst/>
        </a:prstGeom>
        <a:noFill/>
        <a:ln w="9525">
          <a:noFill/>
          <a:miter lim="800000"/>
          <a:headEnd/>
          <a:tailEnd/>
        </a:ln>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34290</xdr:colOff>
      <xdr:row>1</xdr:row>
      <xdr:rowOff>34290</xdr:rowOff>
    </xdr:from>
    <xdr:to>
      <xdr:col>1</xdr:col>
      <xdr:colOff>472825</xdr:colOff>
      <xdr:row>1</xdr:row>
      <xdr:rowOff>555732</xdr:rowOff>
    </xdr:to>
    <xdr:pic>
      <xdr:nvPicPr>
        <xdr:cNvPr id="2" name="Picture 1" descr="X:\Brand\_Brand_Management\Brand_Strategy\_FINALS\_Collateral\Letterhead_NEW_201403\FBM_INT_VERT_RGB_POS.emf">
          <a:extLst>
            <a:ext uri="{FF2B5EF4-FFF2-40B4-BE49-F238E27FC236}">
              <a16:creationId xmlns:a16="http://schemas.microsoft.com/office/drawing/2014/main" id="{A2DABE4D-2D40-4487-A229-8A8164F52E0B}"/>
            </a:ext>
          </a:extLst>
        </xdr:cNvPr>
        <xdr:cNvPicPr>
          <a:picLocks noChangeAspect="1"/>
        </xdr:cNvPicPr>
      </xdr:nvPicPr>
      <xdr:blipFill>
        <a:blip xmlns:r="http://schemas.openxmlformats.org/officeDocument/2006/relationships" r:embed="rId1" cstate="email">
          <a:extLst>
            <a:ext uri="{28A0092B-C50C-407E-A947-70E740481C1C}">
              <a14:useLocalDpi xmlns:a14="http://schemas.microsoft.com/office/drawing/2010/main"/>
            </a:ext>
          </a:extLst>
        </a:blip>
        <a:srcRect/>
        <a:stretch>
          <a:fillRect/>
        </a:stretch>
      </xdr:blipFill>
      <xdr:spPr bwMode="auto">
        <a:xfrm>
          <a:off x="148590" y="148590"/>
          <a:ext cx="438535" cy="521442"/>
        </a:xfrm>
        <a:prstGeom prst="rect">
          <a:avLst/>
        </a:prstGeom>
        <a:noFill/>
        <a:ln w="9525">
          <a:noFill/>
          <a:miter lim="800000"/>
          <a:headEnd/>
          <a:tailEnd/>
        </a:ln>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34290</xdr:colOff>
      <xdr:row>1</xdr:row>
      <xdr:rowOff>34290</xdr:rowOff>
    </xdr:from>
    <xdr:to>
      <xdr:col>1</xdr:col>
      <xdr:colOff>472825</xdr:colOff>
      <xdr:row>1</xdr:row>
      <xdr:rowOff>555732</xdr:rowOff>
    </xdr:to>
    <xdr:pic>
      <xdr:nvPicPr>
        <xdr:cNvPr id="2" name="Picture 1" descr="X:\Brand\_Brand_Management\Brand_Strategy\_FINALS\_Collateral\Letterhead_NEW_201403\FBM_INT_VERT_RGB_POS.emf">
          <a:extLst>
            <a:ext uri="{FF2B5EF4-FFF2-40B4-BE49-F238E27FC236}">
              <a16:creationId xmlns:a16="http://schemas.microsoft.com/office/drawing/2014/main" id="{20AFD9A0-1CE5-4378-A765-12E4B8D0F2E4}"/>
            </a:ext>
          </a:extLst>
        </xdr:cNvPr>
        <xdr:cNvPicPr>
          <a:picLocks noChangeAspect="1"/>
        </xdr:cNvPicPr>
      </xdr:nvPicPr>
      <xdr:blipFill>
        <a:blip xmlns:r="http://schemas.openxmlformats.org/officeDocument/2006/relationships" r:embed="rId1" cstate="email">
          <a:extLst>
            <a:ext uri="{28A0092B-C50C-407E-A947-70E740481C1C}">
              <a14:useLocalDpi xmlns:a14="http://schemas.microsoft.com/office/drawing/2010/main"/>
            </a:ext>
          </a:extLst>
        </a:blip>
        <a:srcRect/>
        <a:stretch>
          <a:fillRect/>
        </a:stretch>
      </xdr:blipFill>
      <xdr:spPr bwMode="auto">
        <a:xfrm>
          <a:off x="148590" y="148590"/>
          <a:ext cx="438535" cy="521442"/>
        </a:xfrm>
        <a:prstGeom prst="rect">
          <a:avLst/>
        </a:prstGeom>
        <a:noFill/>
        <a:ln w="9525">
          <a:noFill/>
          <a:miter lim="800000"/>
          <a:headEnd/>
          <a:tailEnd/>
        </a:ln>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34290</xdr:colOff>
      <xdr:row>1</xdr:row>
      <xdr:rowOff>34290</xdr:rowOff>
    </xdr:from>
    <xdr:to>
      <xdr:col>1</xdr:col>
      <xdr:colOff>472825</xdr:colOff>
      <xdr:row>1</xdr:row>
      <xdr:rowOff>555732</xdr:rowOff>
    </xdr:to>
    <xdr:pic>
      <xdr:nvPicPr>
        <xdr:cNvPr id="2" name="Picture 1" descr="X:\Brand\_Brand_Management\Brand_Strategy\_FINALS\_Collateral\Letterhead_NEW_201403\FBM_INT_VERT_RGB_POS.emf">
          <a:extLst>
            <a:ext uri="{FF2B5EF4-FFF2-40B4-BE49-F238E27FC236}">
              <a16:creationId xmlns:a16="http://schemas.microsoft.com/office/drawing/2014/main" id="{5FD77FD5-0FBD-435B-9673-1AAFE4A4751B}"/>
            </a:ext>
          </a:extLst>
        </xdr:cNvPr>
        <xdr:cNvPicPr>
          <a:picLocks noChangeAspect="1"/>
        </xdr:cNvPicPr>
      </xdr:nvPicPr>
      <xdr:blipFill>
        <a:blip xmlns:r="http://schemas.openxmlformats.org/officeDocument/2006/relationships" r:embed="rId1" cstate="email">
          <a:extLst>
            <a:ext uri="{28A0092B-C50C-407E-A947-70E740481C1C}">
              <a14:useLocalDpi xmlns:a14="http://schemas.microsoft.com/office/drawing/2010/main"/>
            </a:ext>
          </a:extLst>
        </a:blip>
        <a:srcRect/>
        <a:stretch>
          <a:fillRect/>
        </a:stretch>
      </xdr:blipFill>
      <xdr:spPr bwMode="auto">
        <a:xfrm>
          <a:off x="148590" y="148590"/>
          <a:ext cx="438535" cy="521442"/>
        </a:xfrm>
        <a:prstGeom prst="rect">
          <a:avLst/>
        </a:prstGeom>
        <a:noFill/>
        <a:ln w="9525">
          <a:noFill/>
          <a:miter lim="800000"/>
          <a:headEnd/>
          <a:tailEnd/>
        </a:ln>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34290</xdr:colOff>
      <xdr:row>1</xdr:row>
      <xdr:rowOff>34290</xdr:rowOff>
    </xdr:from>
    <xdr:to>
      <xdr:col>1</xdr:col>
      <xdr:colOff>472825</xdr:colOff>
      <xdr:row>1</xdr:row>
      <xdr:rowOff>555732</xdr:rowOff>
    </xdr:to>
    <xdr:pic>
      <xdr:nvPicPr>
        <xdr:cNvPr id="2" name="Picture 1" descr="X:\Brand\_Brand_Management\Brand_Strategy\_FINALS\_Collateral\Letterhead_NEW_201403\FBM_INT_VERT_RGB_POS.emf">
          <a:extLst>
            <a:ext uri="{FF2B5EF4-FFF2-40B4-BE49-F238E27FC236}">
              <a16:creationId xmlns:a16="http://schemas.microsoft.com/office/drawing/2014/main" id="{92A922F7-B15E-42DF-84D9-7D31FAD56B4E}"/>
            </a:ext>
          </a:extLst>
        </xdr:cNvPr>
        <xdr:cNvPicPr>
          <a:picLocks noChangeAspect="1"/>
        </xdr:cNvPicPr>
      </xdr:nvPicPr>
      <xdr:blipFill>
        <a:blip xmlns:r="http://schemas.openxmlformats.org/officeDocument/2006/relationships" r:embed="rId1" cstate="email">
          <a:extLst>
            <a:ext uri="{28A0092B-C50C-407E-A947-70E740481C1C}">
              <a14:useLocalDpi xmlns:a14="http://schemas.microsoft.com/office/drawing/2010/main"/>
            </a:ext>
          </a:extLst>
        </a:blip>
        <a:srcRect/>
        <a:stretch>
          <a:fillRect/>
        </a:stretch>
      </xdr:blipFill>
      <xdr:spPr bwMode="auto">
        <a:xfrm>
          <a:off x="148590" y="148590"/>
          <a:ext cx="438535" cy="521442"/>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0D2D31-750E-48B0-9624-FE6CF95D0A3A}">
  <dimension ref="A1:R33"/>
  <sheetViews>
    <sheetView showRowColHeaders="0" tabSelected="1" zoomScale="120" zoomScaleNormal="120" workbookViewId="0"/>
  </sheetViews>
  <sheetFormatPr defaultRowHeight="14.4" x14ac:dyDescent="0.3"/>
  <cols>
    <col min="1" max="1" width="2.44140625" style="60" customWidth="1"/>
    <col min="2" max="2" width="12.44140625" style="60" bestFit="1" customWidth="1"/>
    <col min="3" max="11" width="14.21875" style="60" customWidth="1"/>
    <col min="12" max="14" width="12.6640625" style="60" customWidth="1"/>
    <col min="15" max="16384" width="8.88671875" style="60"/>
  </cols>
  <sheetData>
    <row r="1" spans="1:18" ht="16.2" customHeight="1" x14ac:dyDescent="0.3">
      <c r="A1" s="17"/>
      <c r="B1" s="17"/>
      <c r="C1" s="17"/>
      <c r="D1" s="17"/>
      <c r="E1" s="17"/>
      <c r="F1" s="17"/>
      <c r="G1" s="17"/>
      <c r="H1" s="17"/>
      <c r="I1" s="17"/>
      <c r="J1" s="17"/>
      <c r="K1" s="17"/>
      <c r="L1" s="17"/>
      <c r="M1" s="17"/>
      <c r="N1" s="17"/>
    </row>
    <row r="2" spans="1:18" s="63" customFormat="1" ht="19.8" customHeight="1" x14ac:dyDescent="0.3">
      <c r="A2" s="23"/>
      <c r="B2" s="84" t="s">
        <v>149</v>
      </c>
      <c r="C2" s="91" t="s">
        <v>156</v>
      </c>
      <c r="D2" s="61"/>
      <c r="E2" s="61"/>
      <c r="F2" s="61"/>
      <c r="G2" s="61"/>
      <c r="H2" s="62"/>
      <c r="I2" s="23"/>
      <c r="J2" s="23"/>
      <c r="K2" s="23"/>
      <c r="L2" s="23"/>
      <c r="M2" s="23"/>
      <c r="N2" s="23"/>
    </row>
    <row r="3" spans="1:18" s="63" customFormat="1" ht="19.8" customHeight="1" x14ac:dyDescent="0.3">
      <c r="A3" s="23"/>
      <c r="B3" s="85" t="s">
        <v>134</v>
      </c>
      <c r="C3" s="92" t="s">
        <v>157</v>
      </c>
      <c r="D3" s="64"/>
      <c r="E3" s="64"/>
      <c r="F3" s="64"/>
      <c r="G3" s="64"/>
      <c r="H3" s="65"/>
      <c r="I3" s="23"/>
      <c r="J3" s="23"/>
      <c r="K3" s="23"/>
      <c r="L3" s="23"/>
      <c r="M3" s="23"/>
      <c r="N3" s="23"/>
      <c r="P3" s="111"/>
      <c r="Q3" s="111"/>
      <c r="R3" s="111"/>
    </row>
    <row r="4" spans="1:18" s="63" customFormat="1" ht="19.8" customHeight="1" x14ac:dyDescent="0.3">
      <c r="A4" s="23"/>
      <c r="B4" s="86" t="s">
        <v>150</v>
      </c>
      <c r="C4" s="93" t="s">
        <v>158</v>
      </c>
      <c r="D4" s="66"/>
      <c r="E4" s="66"/>
      <c r="F4" s="66"/>
      <c r="G4" s="66"/>
      <c r="H4" s="67"/>
      <c r="I4" s="23"/>
      <c r="J4" s="23"/>
      <c r="K4" s="23"/>
      <c r="L4" s="23"/>
      <c r="M4" s="23"/>
      <c r="N4" s="23"/>
      <c r="P4" s="111"/>
      <c r="Q4" s="111"/>
      <c r="R4" s="111"/>
    </row>
    <row r="5" spans="1:18" ht="16.2" customHeight="1" x14ac:dyDescent="0.3">
      <c r="A5" s="17"/>
      <c r="B5" s="87"/>
      <c r="C5" s="17"/>
      <c r="D5" s="17"/>
      <c r="E5" s="17"/>
      <c r="F5" s="17"/>
      <c r="G5" s="17"/>
      <c r="H5" s="17"/>
      <c r="I5" s="17"/>
      <c r="J5" s="17"/>
      <c r="K5" s="17"/>
      <c r="L5" s="17"/>
      <c r="M5" s="17"/>
      <c r="N5" s="17"/>
      <c r="P5" s="115"/>
      <c r="Q5" s="111"/>
      <c r="R5" s="111"/>
    </row>
    <row r="6" spans="1:18" s="63" customFormat="1" ht="18" customHeight="1" x14ac:dyDescent="0.3">
      <c r="A6" s="23"/>
      <c r="B6" s="84" t="str">
        <f>B2</f>
        <v>Español:</v>
      </c>
      <c r="C6" s="68" t="s">
        <v>153</v>
      </c>
      <c r="D6" s="68"/>
      <c r="E6" s="68"/>
      <c r="F6" s="68"/>
      <c r="G6" s="68"/>
      <c r="H6" s="68"/>
      <c r="I6" s="69"/>
      <c r="J6" s="23"/>
      <c r="K6" s="23"/>
      <c r="L6" s="23"/>
      <c r="M6" s="23"/>
      <c r="N6" s="23"/>
      <c r="P6" s="115"/>
      <c r="Q6" s="111"/>
      <c r="R6" s="111"/>
    </row>
    <row r="7" spans="1:18" s="63" customFormat="1" ht="18" customHeight="1" x14ac:dyDescent="0.3">
      <c r="A7" s="23"/>
      <c r="B7" s="85"/>
      <c r="D7" s="70"/>
      <c r="I7" s="71"/>
      <c r="J7" s="23"/>
      <c r="K7" s="23"/>
      <c r="L7" s="23"/>
      <c r="M7" s="23"/>
      <c r="N7" s="23"/>
      <c r="P7" s="115"/>
      <c r="Q7" s="111"/>
      <c r="R7" s="111"/>
    </row>
    <row r="8" spans="1:18" s="63" customFormat="1" ht="18" customHeight="1" x14ac:dyDescent="0.3">
      <c r="A8" s="23"/>
      <c r="B8" s="85" t="str">
        <f>B3</f>
        <v>English:</v>
      </c>
      <c r="C8" s="63" t="s">
        <v>154</v>
      </c>
      <c r="I8" s="71"/>
      <c r="J8" s="23"/>
      <c r="K8" s="23"/>
      <c r="L8" s="23"/>
      <c r="M8" s="23"/>
      <c r="N8" s="23"/>
      <c r="P8" s="115"/>
      <c r="Q8" s="111"/>
      <c r="R8" s="111"/>
    </row>
    <row r="9" spans="1:18" s="63" customFormat="1" ht="18" customHeight="1" x14ac:dyDescent="0.3">
      <c r="A9" s="23"/>
      <c r="B9" s="85"/>
      <c r="D9" s="70"/>
      <c r="I9" s="71"/>
      <c r="J9" s="23"/>
      <c r="K9" s="23"/>
      <c r="L9" s="23"/>
      <c r="M9" s="23"/>
      <c r="N9" s="23"/>
      <c r="P9" s="115"/>
      <c r="Q9" s="111"/>
      <c r="R9" s="111"/>
    </row>
    <row r="10" spans="1:18" s="63" customFormat="1" ht="18" customHeight="1" x14ac:dyDescent="0.3">
      <c r="A10" s="23"/>
      <c r="B10" s="85" t="str">
        <f>B4</f>
        <v>Français:</v>
      </c>
      <c r="C10" s="63" t="s">
        <v>155</v>
      </c>
      <c r="I10" s="71"/>
      <c r="J10" s="23"/>
      <c r="K10" s="23"/>
      <c r="L10" s="23"/>
      <c r="M10" s="23"/>
      <c r="N10" s="23"/>
      <c r="P10" s="115"/>
      <c r="Q10" s="111"/>
      <c r="R10" s="111"/>
    </row>
    <row r="11" spans="1:18" s="63" customFormat="1" ht="18" customHeight="1" x14ac:dyDescent="0.3">
      <c r="A11" s="23"/>
      <c r="B11" s="86"/>
      <c r="C11" s="72"/>
      <c r="D11" s="73"/>
      <c r="E11" s="72"/>
      <c r="F11" s="72"/>
      <c r="G11" s="72"/>
      <c r="H11" s="72"/>
      <c r="I11" s="74"/>
      <c r="J11" s="23"/>
      <c r="K11" s="23"/>
      <c r="L11" s="23"/>
      <c r="M11" s="23"/>
      <c r="N11" s="23"/>
      <c r="P11" s="115"/>
      <c r="Q11" s="111"/>
      <c r="R11" s="111"/>
    </row>
    <row r="12" spans="1:18" x14ac:dyDescent="0.3">
      <c r="A12" s="17"/>
      <c r="B12" s="87"/>
      <c r="C12" s="17"/>
      <c r="D12" s="17"/>
      <c r="E12" s="17"/>
      <c r="F12" s="17"/>
      <c r="G12" s="17"/>
      <c r="H12" s="17"/>
      <c r="I12" s="17"/>
      <c r="J12" s="17"/>
      <c r="K12" s="17"/>
      <c r="L12" s="23"/>
      <c r="M12" s="23"/>
      <c r="N12" s="17"/>
      <c r="P12" s="115"/>
      <c r="Q12" s="111"/>
      <c r="R12" s="111"/>
    </row>
    <row r="13" spans="1:18" ht="43.2" x14ac:dyDescent="0.3">
      <c r="A13" s="17"/>
      <c r="B13" s="88" t="s">
        <v>135</v>
      </c>
      <c r="C13" s="90" t="s">
        <v>6</v>
      </c>
      <c r="D13" s="90" t="s">
        <v>7</v>
      </c>
      <c r="E13" s="90" t="s">
        <v>10</v>
      </c>
      <c r="F13" s="90" t="s">
        <v>11</v>
      </c>
      <c r="G13" s="90" t="s">
        <v>8</v>
      </c>
      <c r="H13" s="90" t="s">
        <v>5</v>
      </c>
      <c r="I13" s="90" t="s">
        <v>9</v>
      </c>
      <c r="J13" s="17"/>
      <c r="K13" s="17"/>
      <c r="L13" s="23"/>
      <c r="M13" s="23"/>
      <c r="N13" s="17"/>
      <c r="P13" s="110"/>
    </row>
    <row r="14" spans="1:18" s="63" customFormat="1" ht="18" customHeight="1" x14ac:dyDescent="0.3">
      <c r="A14" s="23"/>
      <c r="B14" s="89" t="str">
        <f>B2</f>
        <v>Español:</v>
      </c>
      <c r="C14" s="75" t="s">
        <v>136</v>
      </c>
      <c r="D14" s="76" t="s">
        <v>137</v>
      </c>
      <c r="E14" s="76" t="s">
        <v>19</v>
      </c>
      <c r="F14" s="76" t="s">
        <v>4</v>
      </c>
      <c r="G14" s="76" t="s">
        <v>138</v>
      </c>
      <c r="H14" s="76" t="s">
        <v>139</v>
      </c>
      <c r="I14" s="77" t="s">
        <v>140</v>
      </c>
      <c r="J14" s="23"/>
      <c r="K14" s="23"/>
      <c r="L14" s="23"/>
      <c r="M14" s="23"/>
      <c r="N14" s="23"/>
      <c r="P14" s="110"/>
    </row>
    <row r="15" spans="1:18" s="63" customFormat="1" ht="18" customHeight="1" x14ac:dyDescent="0.3">
      <c r="A15" s="23"/>
      <c r="B15" s="89" t="str">
        <f>B3</f>
        <v>English:</v>
      </c>
      <c r="C15" s="78" t="s">
        <v>136</v>
      </c>
      <c r="D15" s="79" t="s">
        <v>141</v>
      </c>
      <c r="E15" s="79" t="s">
        <v>142</v>
      </c>
      <c r="F15" s="79" t="s">
        <v>4</v>
      </c>
      <c r="G15" s="79" t="s">
        <v>138</v>
      </c>
      <c r="H15" s="79" t="s">
        <v>143</v>
      </c>
      <c r="I15" s="80" t="s">
        <v>144</v>
      </c>
      <c r="J15" s="23"/>
      <c r="K15" s="23"/>
      <c r="L15" s="23"/>
      <c r="M15" s="23"/>
      <c r="N15" s="23"/>
    </row>
    <row r="16" spans="1:18" s="63" customFormat="1" ht="18" customHeight="1" x14ac:dyDescent="0.3">
      <c r="A16" s="23"/>
      <c r="B16" s="89" t="str">
        <f>B4</f>
        <v>Français:</v>
      </c>
      <c r="C16" s="81" t="s">
        <v>145</v>
      </c>
      <c r="D16" s="82" t="s">
        <v>146</v>
      </c>
      <c r="E16" s="82" t="s">
        <v>147</v>
      </c>
      <c r="F16" s="82" t="s">
        <v>4</v>
      </c>
      <c r="G16" s="82" t="s">
        <v>138</v>
      </c>
      <c r="H16" s="82" t="s">
        <v>148</v>
      </c>
      <c r="I16" s="83" t="s">
        <v>70</v>
      </c>
      <c r="J16" s="23"/>
      <c r="K16" s="23"/>
      <c r="L16" s="23"/>
      <c r="M16" s="23"/>
      <c r="N16" s="23"/>
    </row>
    <row r="17" spans="1:14" x14ac:dyDescent="0.3">
      <c r="A17" s="17"/>
      <c r="B17" s="17"/>
      <c r="C17" s="17"/>
      <c r="D17" s="17"/>
      <c r="E17" s="17"/>
      <c r="F17" s="17"/>
      <c r="G17" s="17"/>
      <c r="H17" s="17"/>
      <c r="I17" s="17"/>
      <c r="J17" s="17"/>
      <c r="K17" s="17"/>
      <c r="L17" s="23"/>
      <c r="M17" s="23"/>
      <c r="N17" s="17"/>
    </row>
    <row r="18" spans="1:14" x14ac:dyDescent="0.3">
      <c r="A18" s="17"/>
      <c r="B18" s="17"/>
      <c r="C18" s="17"/>
      <c r="D18" s="17"/>
      <c r="E18" s="17"/>
      <c r="F18" s="17"/>
      <c r="G18" s="17"/>
      <c r="H18" s="17"/>
      <c r="I18" s="17"/>
      <c r="J18" s="17"/>
      <c r="K18" s="17"/>
      <c r="L18" s="17"/>
      <c r="M18" s="17"/>
      <c r="N18" s="17"/>
    </row>
    <row r="19" spans="1:14" x14ac:dyDescent="0.3">
      <c r="A19" s="17"/>
      <c r="B19" s="17"/>
      <c r="C19" s="17"/>
      <c r="D19" s="17"/>
      <c r="E19" s="17"/>
      <c r="F19" s="17"/>
      <c r="G19" s="17"/>
      <c r="H19" s="17"/>
      <c r="I19" s="17"/>
      <c r="J19" s="17"/>
      <c r="K19" s="17"/>
      <c r="L19" s="17"/>
      <c r="M19" s="17"/>
      <c r="N19" s="17"/>
    </row>
    <row r="20" spans="1:14" x14ac:dyDescent="0.3">
      <c r="A20" s="17"/>
      <c r="B20" s="17"/>
      <c r="C20" s="17"/>
      <c r="D20" s="17"/>
      <c r="E20" s="17"/>
      <c r="F20" s="17"/>
      <c r="G20" s="17"/>
      <c r="H20" s="17"/>
      <c r="I20" s="17"/>
      <c r="J20" s="17"/>
      <c r="K20" s="17"/>
      <c r="L20" s="17"/>
      <c r="M20" s="17"/>
      <c r="N20" s="17"/>
    </row>
    <row r="21" spans="1:14" x14ac:dyDescent="0.3">
      <c r="A21" s="17"/>
      <c r="B21" s="17"/>
      <c r="C21" s="17"/>
      <c r="D21" s="17"/>
      <c r="E21" s="17"/>
      <c r="F21" s="17"/>
      <c r="G21" s="17"/>
      <c r="H21" s="17"/>
      <c r="I21" s="17"/>
      <c r="J21" s="17"/>
      <c r="K21" s="17"/>
      <c r="L21" s="17"/>
      <c r="M21" s="17"/>
      <c r="N21" s="17"/>
    </row>
    <row r="22" spans="1:14" x14ac:dyDescent="0.3">
      <c r="A22" s="17"/>
      <c r="B22" s="17"/>
      <c r="C22" s="17"/>
      <c r="D22" s="17"/>
      <c r="E22" s="17"/>
      <c r="F22" s="17"/>
      <c r="G22" s="17"/>
      <c r="H22" s="17"/>
      <c r="I22" s="17"/>
      <c r="J22" s="17"/>
      <c r="K22" s="17"/>
      <c r="L22" s="17"/>
      <c r="M22" s="17"/>
      <c r="N22" s="17"/>
    </row>
    <row r="23" spans="1:14" x14ac:dyDescent="0.3">
      <c r="A23" s="17"/>
      <c r="B23" s="17"/>
      <c r="C23" s="17"/>
      <c r="D23" s="17"/>
      <c r="E23" s="17"/>
      <c r="F23" s="17"/>
      <c r="G23" s="17"/>
      <c r="H23" s="17"/>
      <c r="I23" s="17"/>
      <c r="J23" s="17"/>
      <c r="K23" s="17"/>
      <c r="L23" s="17"/>
      <c r="M23" s="17"/>
      <c r="N23" s="17"/>
    </row>
    <row r="24" spans="1:14" x14ac:dyDescent="0.3">
      <c r="A24" s="17"/>
      <c r="B24" s="17"/>
      <c r="C24" s="17"/>
      <c r="D24" s="17"/>
      <c r="E24" s="17"/>
      <c r="F24" s="17"/>
      <c r="G24" s="17"/>
      <c r="H24" s="17"/>
      <c r="I24" s="17"/>
      <c r="J24" s="17"/>
      <c r="K24" s="17"/>
      <c r="L24" s="17"/>
      <c r="M24" s="17"/>
      <c r="N24" s="17"/>
    </row>
    <row r="25" spans="1:14" x14ac:dyDescent="0.3">
      <c r="A25" s="17"/>
      <c r="B25" s="17"/>
      <c r="C25" s="17"/>
      <c r="D25" s="17"/>
      <c r="E25" s="17"/>
      <c r="F25" s="17"/>
      <c r="G25" s="17"/>
      <c r="H25" s="17"/>
      <c r="I25" s="17"/>
      <c r="J25" s="17"/>
      <c r="K25" s="17"/>
      <c r="L25" s="17"/>
      <c r="M25" s="17"/>
      <c r="N25" s="17"/>
    </row>
    <row r="26" spans="1:14" x14ac:dyDescent="0.3">
      <c r="A26" s="17"/>
      <c r="B26" s="17"/>
      <c r="C26" s="17"/>
      <c r="D26" s="17"/>
      <c r="E26" s="17"/>
      <c r="F26" s="17"/>
      <c r="G26" s="17"/>
      <c r="H26" s="17"/>
      <c r="I26" s="17"/>
      <c r="J26" s="17"/>
      <c r="K26" s="17"/>
      <c r="L26" s="17"/>
      <c r="M26" s="17"/>
      <c r="N26" s="17"/>
    </row>
    <row r="27" spans="1:14" x14ac:dyDescent="0.3">
      <c r="A27" s="17"/>
      <c r="B27" s="17"/>
      <c r="C27" s="17"/>
      <c r="D27" s="17"/>
      <c r="E27" s="17"/>
      <c r="F27" s="17"/>
      <c r="G27" s="17"/>
      <c r="H27" s="17"/>
      <c r="I27" s="17"/>
      <c r="J27" s="17"/>
      <c r="K27" s="17"/>
      <c r="L27" s="17"/>
      <c r="M27" s="17"/>
      <c r="N27" s="17"/>
    </row>
    <row r="28" spans="1:14" x14ac:dyDescent="0.3">
      <c r="A28" s="17"/>
      <c r="B28" s="17"/>
      <c r="C28" s="17"/>
      <c r="D28" s="17"/>
      <c r="E28" s="17"/>
      <c r="F28" s="17"/>
      <c r="G28" s="17"/>
      <c r="H28" s="17"/>
      <c r="I28" s="17"/>
      <c r="J28" s="17"/>
      <c r="K28" s="17"/>
      <c r="L28" s="17"/>
      <c r="M28" s="17"/>
      <c r="N28" s="17"/>
    </row>
    <row r="29" spans="1:14" x14ac:dyDescent="0.3">
      <c r="A29" s="17"/>
      <c r="B29" s="17"/>
      <c r="C29" s="17"/>
      <c r="D29" s="17"/>
      <c r="E29" s="17"/>
      <c r="F29" s="17"/>
      <c r="G29" s="17"/>
      <c r="H29" s="17"/>
      <c r="I29" s="17"/>
      <c r="J29" s="17"/>
      <c r="K29" s="17"/>
      <c r="L29" s="17"/>
      <c r="M29" s="17"/>
      <c r="N29" s="17"/>
    </row>
    <row r="30" spans="1:14" x14ac:dyDescent="0.3">
      <c r="A30" s="17"/>
      <c r="B30" s="17"/>
      <c r="C30" s="17"/>
      <c r="D30" s="17"/>
      <c r="E30" s="17"/>
      <c r="F30" s="17"/>
      <c r="G30" s="17"/>
      <c r="H30" s="17"/>
      <c r="I30" s="17"/>
      <c r="J30" s="17"/>
      <c r="K30" s="17"/>
      <c r="L30" s="17"/>
      <c r="M30" s="17"/>
      <c r="N30" s="17"/>
    </row>
    <row r="31" spans="1:14" x14ac:dyDescent="0.3">
      <c r="A31" s="17"/>
      <c r="B31" s="17"/>
      <c r="C31" s="17"/>
      <c r="D31" s="17"/>
      <c r="E31" s="17"/>
      <c r="F31" s="17"/>
      <c r="G31" s="17"/>
      <c r="H31" s="17"/>
      <c r="I31" s="17"/>
      <c r="J31" s="17"/>
      <c r="K31" s="17"/>
      <c r="L31" s="17"/>
      <c r="M31" s="17"/>
      <c r="N31" s="17"/>
    </row>
    <row r="32" spans="1:14" x14ac:dyDescent="0.3">
      <c r="A32" s="17"/>
      <c r="B32" s="17"/>
      <c r="C32" s="17"/>
      <c r="D32" s="17"/>
      <c r="E32" s="17"/>
      <c r="F32" s="17"/>
      <c r="G32" s="17"/>
      <c r="H32" s="17"/>
      <c r="I32" s="17"/>
      <c r="J32" s="17"/>
      <c r="K32" s="17"/>
      <c r="L32" s="17"/>
      <c r="M32" s="17"/>
      <c r="N32" s="17"/>
    </row>
    <row r="33" spans="1:14" x14ac:dyDescent="0.3">
      <c r="A33" s="17"/>
      <c r="B33" s="17"/>
      <c r="C33" s="17"/>
      <c r="D33" s="17"/>
      <c r="E33" s="17"/>
      <c r="F33" s="17"/>
      <c r="G33" s="17"/>
      <c r="H33" s="17"/>
      <c r="I33" s="17"/>
      <c r="J33" s="17"/>
      <c r="K33" s="17"/>
      <c r="L33" s="17"/>
      <c r="M33" s="17"/>
      <c r="N33" s="17"/>
    </row>
  </sheetData>
  <sheetProtection algorithmName="SHA-512" hashValue="+VZGn+wH4IvEZvL1hd6hQekK0OiBiW5mRmDijWAHHKULAF8elfr5Tw5HXrzaAzOpGIKHg+ekvvlyY10Hp/d5sg==" saltValue="L4khohw+BLoRcw21s7ybVA==" spinCount="100000" sheet="1" objects="1" scenarios="1"/>
  <mergeCells count="1">
    <mergeCell ref="P5:P12"/>
  </mergeCells>
  <phoneticPr fontId="18" type="noConversion"/>
  <hyperlinks>
    <hyperlink ref="C13" location="CO!D4" display="CO" xr:uid="{FCB9275A-D0E4-4246-AABD-F7208C68CF6E}"/>
    <hyperlink ref="D13" location="DO!D4" display="DO" xr:uid="{9462A8AF-8FCE-4E24-8228-120E430DB05B}"/>
    <hyperlink ref="E13" location="MX!D4" display="MX" xr:uid="{B4A99245-76A4-4FC6-AF6E-139B60E5626F}"/>
    <hyperlink ref="F13" location="NI!D4" display="NI" xr:uid="{912B8B73-946D-4C49-93EE-AC8CF83E1AEF}"/>
    <hyperlink ref="G13" location="GH!D4" display="GH" xr:uid="{7A54749F-A2E3-4122-894E-976B5A204ED4}"/>
    <hyperlink ref="H13" location="CM!D4" display="CM" xr:uid="{F534030B-48DB-46FE-999D-DCDD01C9D41F}"/>
    <hyperlink ref="I13" location="CI!D4" display="CI" xr:uid="{4568C22B-7E59-458B-B408-F9464FC85074}"/>
  </hyperlink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E72566-AAAA-4B4D-A3DC-D2A372A4989C}">
  <dimension ref="A1:AA135"/>
  <sheetViews>
    <sheetView showGridLines="0" showRowColHeaders="0" zoomScaleNormal="100" workbookViewId="0"/>
  </sheetViews>
  <sheetFormatPr defaultColWidth="11.5546875" defaultRowHeight="14.4" x14ac:dyDescent="0.3"/>
  <cols>
    <col min="1" max="1" width="1.6640625" customWidth="1"/>
    <col min="2" max="2" width="36.33203125" customWidth="1"/>
    <col min="3" max="5" width="12.88671875" customWidth="1"/>
    <col min="6" max="8" width="19.21875" customWidth="1"/>
    <col min="9" max="9" width="2" customWidth="1"/>
    <col min="10" max="10" width="29.88671875" bestFit="1" customWidth="1"/>
    <col min="11" max="11" width="1.88671875" customWidth="1"/>
    <col min="12" max="12" width="5.109375" style="11" customWidth="1"/>
    <col min="13" max="13" width="37.109375" style="48" hidden="1" customWidth="1"/>
    <col min="14" max="14" width="10.6640625" style="21" hidden="1" customWidth="1"/>
    <col min="15" max="15" width="13.6640625" style="21" hidden="1" customWidth="1"/>
    <col min="16" max="16" width="11.44140625" style="21" hidden="1" customWidth="1"/>
    <col min="17" max="17" width="5.33203125" style="21" hidden="1" customWidth="1"/>
    <col min="18" max="18" width="11.44140625" style="4" hidden="1" customWidth="1"/>
    <col min="19" max="20" width="11.5546875" style="4" hidden="1" customWidth="1"/>
    <col min="21" max="21" width="11.5546875" style="18" hidden="1" customWidth="1"/>
    <col min="22" max="22" width="14.6640625" style="18" hidden="1" customWidth="1"/>
    <col min="23" max="23" width="11.5546875" style="18" hidden="1" customWidth="1"/>
    <col min="24" max="27" width="11.5546875" hidden="1" customWidth="1"/>
  </cols>
  <sheetData>
    <row r="1" spans="1:27" ht="9" customHeight="1" thickBot="1" x14ac:dyDescent="0.35">
      <c r="A1" s="24"/>
      <c r="B1" s="25"/>
      <c r="C1" s="25"/>
      <c r="D1" s="25"/>
      <c r="E1" s="25"/>
      <c r="F1" s="25"/>
      <c r="G1" s="25"/>
      <c r="H1" s="25"/>
      <c r="I1" s="25"/>
      <c r="J1" s="25"/>
      <c r="K1" s="26"/>
    </row>
    <row r="2" spans="1:27" ht="46.8" customHeight="1" thickBot="1" x14ac:dyDescent="0.35">
      <c r="A2" s="27"/>
      <c r="B2" s="121" t="s">
        <v>14</v>
      </c>
      <c r="C2" s="122"/>
      <c r="D2" s="122"/>
      <c r="E2" s="122"/>
      <c r="F2" s="122"/>
      <c r="G2" s="122"/>
      <c r="H2" s="123"/>
      <c r="I2" s="28"/>
      <c r="J2" s="116" t="s">
        <v>26</v>
      </c>
      <c r="K2" s="29"/>
    </row>
    <row r="3" spans="1:27" ht="10.5" customHeight="1" thickBot="1" x14ac:dyDescent="0.35">
      <c r="A3" s="27"/>
      <c r="B3" s="17"/>
      <c r="C3" s="17"/>
      <c r="D3" s="17"/>
      <c r="E3" s="17"/>
      <c r="F3" s="17"/>
      <c r="G3" s="17"/>
      <c r="H3" s="17"/>
      <c r="I3" s="17"/>
      <c r="J3" s="117"/>
      <c r="K3" s="29"/>
    </row>
    <row r="4" spans="1:27" ht="16.2" customHeight="1" thickBot="1" x14ac:dyDescent="0.35">
      <c r="A4" s="27"/>
      <c r="B4" s="136" t="s">
        <v>18</v>
      </c>
      <c r="C4" s="137"/>
      <c r="D4" s="22"/>
      <c r="E4" s="31"/>
      <c r="F4" s="140" t="s">
        <v>36</v>
      </c>
      <c r="G4" s="141"/>
      <c r="H4" s="19"/>
      <c r="I4" s="31"/>
      <c r="J4" s="118" t="s">
        <v>54</v>
      </c>
      <c r="K4" s="29"/>
    </row>
    <row r="5" spans="1:27" ht="48.6" customHeight="1" thickBot="1" x14ac:dyDescent="0.35">
      <c r="A5" s="27"/>
      <c r="B5" s="134" t="s">
        <v>35</v>
      </c>
      <c r="C5" s="135"/>
      <c r="D5" s="20"/>
      <c r="E5" s="113" t="s">
        <v>27</v>
      </c>
      <c r="F5" s="142" t="str">
        <f>"Producción de cajas en el período de los "&amp;D5&amp;" meses (expresadas en cajas de 18.14 kg):"</f>
        <v>Producción de cajas en el período de los  meses (expresadas en cajas de 18.14 kg):</v>
      </c>
      <c r="G5" s="143"/>
      <c r="H5" s="19"/>
      <c r="I5" s="31"/>
      <c r="J5" s="119"/>
      <c r="K5" s="29"/>
      <c r="M5" s="48" t="s">
        <v>16</v>
      </c>
    </row>
    <row r="6" spans="1:27" ht="31.8" customHeight="1" thickBot="1" x14ac:dyDescent="0.35">
      <c r="A6" s="27"/>
      <c r="B6" s="138" t="str">
        <f>"Monto total del Premio Fairtrade recibido en el periodo de los "&amp;D5&amp;" meses (en "&amp;T9&amp;"/perido de "&amp;D5&amp;" meses) :"</f>
        <v>Monto total del Premio Fairtrade recibido en el periodo de los  meses (en pesos/perido de  meses) :</v>
      </c>
      <c r="C6" s="139"/>
      <c r="D6" s="20"/>
      <c r="E6" s="113" t="s">
        <v>27</v>
      </c>
      <c r="F6" s="138" t="str">
        <f>"Salario Digno de Referencia básico 2025 (en "&amp;T9&amp;"/mes) :"</f>
        <v>Salario Digno de Referencia básico 2025 (en pesos/mes) :</v>
      </c>
      <c r="G6" s="139"/>
      <c r="H6" s="99">
        <f>P18</f>
        <v>1703986</v>
      </c>
      <c r="I6" s="30"/>
      <c r="J6" s="119"/>
      <c r="K6" s="29"/>
      <c r="M6" s="49"/>
      <c r="O6" s="50"/>
    </row>
    <row r="7" spans="1:27" ht="16.2" customHeight="1" thickBot="1" x14ac:dyDescent="0.35">
      <c r="A7" s="27"/>
      <c r="B7" s="144" t="str">
        <f>"Tipo de cambio (en "&amp;T9&amp;"/US dólar) :"</f>
        <v>Tipo de cambio (en pesos/US dólar) :</v>
      </c>
      <c r="C7" s="145"/>
      <c r="D7" s="19"/>
      <c r="E7" s="31"/>
      <c r="F7" s="114" t="s">
        <v>159</v>
      </c>
      <c r="G7" s="17"/>
      <c r="H7" s="17"/>
      <c r="I7" s="30"/>
      <c r="J7" s="119"/>
      <c r="K7" s="29"/>
      <c r="M7" s="49"/>
    </row>
    <row r="8" spans="1:27" ht="10.199999999999999" customHeight="1" thickBot="1" x14ac:dyDescent="0.35">
      <c r="A8" s="27"/>
      <c r="B8" s="32"/>
      <c r="C8" s="17"/>
      <c r="D8" s="17"/>
      <c r="E8" s="17"/>
      <c r="F8" s="17"/>
      <c r="G8" s="17"/>
      <c r="H8" s="17"/>
      <c r="I8" s="17"/>
      <c r="J8" s="119"/>
      <c r="K8" s="29"/>
      <c r="M8" s="51"/>
    </row>
    <row r="9" spans="1:27" ht="55.8" thickBot="1" x14ac:dyDescent="0.35">
      <c r="A9" s="27"/>
      <c r="B9" s="94" t="s">
        <v>43</v>
      </c>
      <c r="C9" s="94" t="s">
        <v>13</v>
      </c>
      <c r="D9" s="94" t="s">
        <v>12</v>
      </c>
      <c r="E9" s="95" t="str">
        <f>"# meses laborados en el periodo de "&amp;D5&amp;" meses"</f>
        <v># meses laborados en el periodo de  meses</v>
      </c>
      <c r="F9" s="96" t="s">
        <v>47</v>
      </c>
      <c r="G9" s="97" t="str">
        <f>"Brecha Salarial/ período de "&amp;D5&amp;" meses"</f>
        <v>Brecha Salarial/ período de  meses</v>
      </c>
      <c r="H9" s="98" t="str">
        <f>"Premio Fairtrade a distribuir, in "&amp;T9&amp;"/mes/trabajador"</f>
        <v>Premio Fairtrade a distribuir, in pesos/mes/trabajador</v>
      </c>
      <c r="I9" s="33"/>
      <c r="J9" s="119"/>
      <c r="K9" s="34"/>
      <c r="M9" s="47" t="s">
        <v>6</v>
      </c>
      <c r="N9" s="21" t="s">
        <v>3</v>
      </c>
      <c r="O9" s="43" t="s">
        <v>31</v>
      </c>
      <c r="P9" s="43" t="s">
        <v>32</v>
      </c>
      <c r="Q9" s="18"/>
      <c r="R9"/>
      <c r="S9" s="43" t="s">
        <v>20</v>
      </c>
      <c r="T9" s="43" t="s">
        <v>25</v>
      </c>
      <c r="V9" s="21" t="s">
        <v>17</v>
      </c>
      <c r="W9" s="21"/>
      <c r="X9" s="21" t="s">
        <v>2</v>
      </c>
      <c r="Y9" s="4"/>
      <c r="Z9" s="21" t="s">
        <v>33</v>
      </c>
      <c r="AA9" s="21" t="s">
        <v>34</v>
      </c>
    </row>
    <row r="10" spans="1:27" ht="16.5" customHeight="1" thickBot="1" x14ac:dyDescent="0.35">
      <c r="A10" s="27"/>
      <c r="B10" s="13" t="s">
        <v>125</v>
      </c>
      <c r="C10" s="1"/>
      <c r="D10" s="6"/>
      <c r="E10" s="5"/>
      <c r="F10" s="105">
        <f t="shared" ref="F10:F40" si="0">C10*D10/daysperweek</f>
        <v>0</v>
      </c>
      <c r="G10" s="106">
        <f t="shared" ref="G10:G40" si="1">IF(LWgap&gt;maxFP30,maxFP30*W10,V10)</f>
        <v>0</v>
      </c>
      <c r="H10" s="107">
        <f>IFERROR(G10/C10,0)</f>
        <v>0</v>
      </c>
      <c r="I10" s="35"/>
      <c r="J10" s="120"/>
      <c r="K10" s="29"/>
      <c r="L10" s="8"/>
      <c r="M10" s="52" t="str">
        <f>"Entre  "&amp;O10&amp;"  y  "&amp;P10&amp;"  "&amp;S9</f>
        <v>Entre  1423500  y  1454999  pesos/mes</v>
      </c>
      <c r="N10" s="53">
        <f t="shared" ref="N10:N18" si="2">AVERAGE(O10:P10)</f>
        <v>1439249.5</v>
      </c>
      <c r="O10" s="54">
        <v>1423500</v>
      </c>
      <c r="P10" s="55">
        <f>ROUND(O10+O19,P19)-1</f>
        <v>1454999</v>
      </c>
      <c r="Q10" s="42"/>
      <c r="R10" s="56">
        <f>P10-O10</f>
        <v>31499</v>
      </c>
      <c r="S10"/>
      <c r="T10"/>
      <c r="V10" s="15">
        <f>IFERROR((basicLWB-VLOOKUP(B10,$M$10:$N$18,2,FALSE))*E10*F10,0)</f>
        <v>0</v>
      </c>
      <c r="W10" s="12" t="e">
        <f>V10/LWgap</f>
        <v>#DIV/0!</v>
      </c>
      <c r="X10" s="11">
        <v>1</v>
      </c>
      <c r="Y10" s="4" t="b">
        <f t="shared" ref="Y10:Y21" si="3">IF(X10&lt;=$D$5,X10,0)&lt;&gt;0</f>
        <v>0</v>
      </c>
      <c r="Z10" s="4" cm="1">
        <f t="array" ref="Z10">IFERROR(_xlfn.XLOOKUP(TRUE,Y10:$Y$21,X10:$X$21),0)</f>
        <v>0</v>
      </c>
      <c r="AA10" s="10">
        <v>6</v>
      </c>
    </row>
    <row r="11" spans="1:27" ht="16.5" customHeight="1" x14ac:dyDescent="0.3">
      <c r="A11" s="27"/>
      <c r="B11" s="13" t="s">
        <v>126</v>
      </c>
      <c r="C11" s="2"/>
      <c r="D11" s="7"/>
      <c r="E11" s="5"/>
      <c r="F11" s="105">
        <f t="shared" si="0"/>
        <v>0</v>
      </c>
      <c r="G11" s="106">
        <f t="shared" si="1"/>
        <v>0</v>
      </c>
      <c r="H11" s="107">
        <f t="shared" ref="H11:H19" si="4">IFERROR(G11/C11,0)</f>
        <v>0</v>
      </c>
      <c r="I11" s="35"/>
      <c r="J11" s="44"/>
      <c r="K11" s="29"/>
      <c r="L11" s="8"/>
      <c r="M11" s="52" t="str">
        <f>"Entre  "&amp;O11&amp;"  y  "&amp;P11&amp;"  "&amp;S9</f>
        <v>Entre  1455000  y  1485999  pesos/mes</v>
      </c>
      <c r="N11" s="53">
        <f t="shared" si="2"/>
        <v>1470499.5</v>
      </c>
      <c r="O11" s="55">
        <f t="shared" ref="O11:O18" si="5">P10+1</f>
        <v>1455000</v>
      </c>
      <c r="P11" s="55">
        <f>ROUND(P10+O19,P19)-1</f>
        <v>1485999</v>
      </c>
      <c r="Q11" s="42"/>
      <c r="R11" s="56">
        <f t="shared" ref="R11:R18" si="6">P11-P10</f>
        <v>31000</v>
      </c>
      <c r="S11"/>
      <c r="T11"/>
      <c r="V11" s="15">
        <f>IFERROR((basicLWB-VLOOKUP(B11,$M$10:$N$18,2,FALSE))*E11*F11,0)</f>
        <v>0</v>
      </c>
      <c r="W11" s="12" t="e">
        <f t="shared" ref="W11:W33" si="7">+V11/LWgap</f>
        <v>#DIV/0!</v>
      </c>
      <c r="X11" s="11">
        <v>2</v>
      </c>
      <c r="Y11" s="4" t="b">
        <f t="shared" si="3"/>
        <v>0</v>
      </c>
      <c r="Z11" s="4" cm="1">
        <f t="array" ref="Z11">IFERROR(_xlfn.XLOOKUP(TRUE,Y11:$Y$21,X11:$X$21),0)</f>
        <v>0</v>
      </c>
      <c r="AA11" s="10">
        <v>5.5</v>
      </c>
    </row>
    <row r="12" spans="1:27" ht="16.5" customHeight="1" x14ac:dyDescent="0.3">
      <c r="A12" s="27"/>
      <c r="B12" s="13" t="s">
        <v>127</v>
      </c>
      <c r="C12" s="2"/>
      <c r="D12" s="7"/>
      <c r="E12" s="5"/>
      <c r="F12" s="105">
        <f t="shared" si="0"/>
        <v>0</v>
      </c>
      <c r="G12" s="106">
        <f t="shared" si="1"/>
        <v>0</v>
      </c>
      <c r="H12" s="107">
        <f t="shared" si="4"/>
        <v>0</v>
      </c>
      <c r="I12" s="35"/>
      <c r="J12" s="36"/>
      <c r="K12" s="29"/>
      <c r="L12" s="8"/>
      <c r="M12" s="52" t="str">
        <f>"Entre  "&amp;O12&amp;"  y  "&amp;P12&amp;"  "&amp;S9</f>
        <v>Entre  1486000  y  1516999  pesos/mes</v>
      </c>
      <c r="N12" s="53">
        <f t="shared" si="2"/>
        <v>1501499.5</v>
      </c>
      <c r="O12" s="55">
        <f t="shared" si="5"/>
        <v>1486000</v>
      </c>
      <c r="P12" s="55">
        <f>ROUND(P11+O19,P19)-1</f>
        <v>1516999</v>
      </c>
      <c r="Q12" s="42"/>
      <c r="R12" s="56">
        <f t="shared" si="6"/>
        <v>31000</v>
      </c>
      <c r="S12"/>
      <c r="T12"/>
      <c r="V12" s="15">
        <f>IFERROR((basicLWB-VLOOKUP(B12,$M$10:$N$18,2,FALSE))*E12*F12,0)</f>
        <v>0</v>
      </c>
      <c r="W12" s="12" t="e">
        <f t="shared" si="7"/>
        <v>#DIV/0!</v>
      </c>
      <c r="X12" s="11">
        <v>3</v>
      </c>
      <c r="Y12" s="4" t="b">
        <f t="shared" si="3"/>
        <v>0</v>
      </c>
      <c r="Z12" s="4" cm="1">
        <f t="array" ref="Z12">IFERROR(_xlfn.XLOOKUP(TRUE,Y12:$Y$21,X12:$X$21),0)</f>
        <v>0</v>
      </c>
      <c r="AA12" s="10">
        <v>5</v>
      </c>
    </row>
    <row r="13" spans="1:27" ht="16.5" customHeight="1" x14ac:dyDescent="0.3">
      <c r="A13" s="27"/>
      <c r="B13" s="13" t="s">
        <v>128</v>
      </c>
      <c r="C13" s="2"/>
      <c r="D13" s="7"/>
      <c r="E13" s="5"/>
      <c r="F13" s="105">
        <f t="shared" si="0"/>
        <v>0</v>
      </c>
      <c r="G13" s="106">
        <f t="shared" si="1"/>
        <v>0</v>
      </c>
      <c r="H13" s="107">
        <f t="shared" si="4"/>
        <v>0</v>
      </c>
      <c r="I13" s="35"/>
      <c r="J13" s="36"/>
      <c r="K13" s="29"/>
      <c r="L13" s="8"/>
      <c r="M13" s="52" t="str">
        <f>"Entre  "&amp;O13&amp;"  y  "&amp;P13&amp;"  "&amp;S9</f>
        <v>Entre  1517000  y  1547999  pesos/mes</v>
      </c>
      <c r="N13" s="53">
        <f t="shared" si="2"/>
        <v>1532499.5</v>
      </c>
      <c r="O13" s="55">
        <f t="shared" si="5"/>
        <v>1517000</v>
      </c>
      <c r="P13" s="55">
        <f>ROUND(P12+O19,P19)-1</f>
        <v>1547999</v>
      </c>
      <c r="Q13" s="42"/>
      <c r="R13" s="56">
        <f t="shared" si="6"/>
        <v>31000</v>
      </c>
      <c r="S13"/>
      <c r="T13"/>
      <c r="V13" s="15">
        <f>IFERROR((basicLWB-VLOOKUP(B13,$M$10:$N$18,2,FALSE))*E13*F13,0)</f>
        <v>0</v>
      </c>
      <c r="W13" s="12" t="e">
        <f t="shared" si="7"/>
        <v>#DIV/0!</v>
      </c>
      <c r="X13" s="11">
        <v>4</v>
      </c>
      <c r="Y13" s="4" t="b">
        <f t="shared" si="3"/>
        <v>0</v>
      </c>
      <c r="Z13" s="4" cm="1">
        <f t="array" ref="Z13">IFERROR(_xlfn.XLOOKUP(TRUE,Y13:$Y$21,X13:$X$21),0)</f>
        <v>0</v>
      </c>
      <c r="AA13" s="10">
        <v>4.5</v>
      </c>
    </row>
    <row r="14" spans="1:27" ht="16.5" customHeight="1" x14ac:dyDescent="0.3">
      <c r="A14" s="27"/>
      <c r="B14" s="13" t="s">
        <v>129</v>
      </c>
      <c r="C14" s="2"/>
      <c r="D14" s="7"/>
      <c r="E14" s="5"/>
      <c r="F14" s="105">
        <f t="shared" si="0"/>
        <v>0</v>
      </c>
      <c r="G14" s="106">
        <f t="shared" si="1"/>
        <v>0</v>
      </c>
      <c r="H14" s="107">
        <f t="shared" si="4"/>
        <v>0</v>
      </c>
      <c r="I14" s="35"/>
      <c r="J14" s="36"/>
      <c r="K14" s="29"/>
      <c r="L14" s="8"/>
      <c r="M14" s="52" t="str">
        <f>"Entre  "&amp;O14&amp;"  y  "&amp;P14&amp;"  "&amp;S9</f>
        <v>Entre  1548000  y  1578999  pesos/mes</v>
      </c>
      <c r="N14" s="53">
        <f t="shared" si="2"/>
        <v>1563499.5</v>
      </c>
      <c r="O14" s="55">
        <f t="shared" si="5"/>
        <v>1548000</v>
      </c>
      <c r="P14" s="55">
        <f>ROUND(P13+O19,P19)-1</f>
        <v>1578999</v>
      </c>
      <c r="Q14" s="42"/>
      <c r="R14" s="56">
        <f t="shared" si="6"/>
        <v>31000</v>
      </c>
      <c r="S14"/>
      <c r="T14"/>
      <c r="V14" s="15">
        <f>IFERROR((basicLWB-VLOOKUP(B14,$M$10:$N$18,2,FALSE))*E14*F14,0)</f>
        <v>0</v>
      </c>
      <c r="W14" s="12" t="e">
        <f t="shared" si="7"/>
        <v>#DIV/0!</v>
      </c>
      <c r="X14" s="11">
        <v>5</v>
      </c>
      <c r="Y14" s="4" t="b">
        <f t="shared" si="3"/>
        <v>0</v>
      </c>
      <c r="Z14" s="4" cm="1">
        <f t="array" ref="Z14">IFERROR(_xlfn.XLOOKUP(TRUE,Y14:$Y$21,X14:$X$21),0)</f>
        <v>0</v>
      </c>
      <c r="AA14" s="10">
        <v>4</v>
      </c>
    </row>
    <row r="15" spans="1:27" ht="16.5" customHeight="1" x14ac:dyDescent="0.3">
      <c r="A15" s="27"/>
      <c r="B15" s="13" t="s">
        <v>130</v>
      </c>
      <c r="C15" s="2"/>
      <c r="D15" s="7"/>
      <c r="E15" s="5"/>
      <c r="F15" s="105">
        <f t="shared" si="0"/>
        <v>0</v>
      </c>
      <c r="G15" s="106">
        <f t="shared" si="1"/>
        <v>0</v>
      </c>
      <c r="H15" s="107">
        <f t="shared" si="4"/>
        <v>0</v>
      </c>
      <c r="I15" s="35"/>
      <c r="J15" s="36"/>
      <c r="K15" s="29"/>
      <c r="L15" s="8"/>
      <c r="M15" s="52" t="str">
        <f>"Entre  "&amp;O15&amp;"  y  "&amp;P15&amp;"  "&amp;S9</f>
        <v>Entre  1579000  y  1609999  pesos/mes</v>
      </c>
      <c r="N15" s="53">
        <f t="shared" si="2"/>
        <v>1594499.5</v>
      </c>
      <c r="O15" s="55">
        <f t="shared" si="5"/>
        <v>1579000</v>
      </c>
      <c r="P15" s="55">
        <f>ROUND(P14+O19,P19)-1</f>
        <v>1609999</v>
      </c>
      <c r="Q15" s="42"/>
      <c r="R15" s="56">
        <f t="shared" si="6"/>
        <v>31000</v>
      </c>
      <c r="S15"/>
      <c r="T15"/>
      <c r="V15" s="15">
        <f>IFERROR((basicLWB-VLOOKUP(B15,$M$10:$N$18,2,FALSE))*E15*F15,0)</f>
        <v>0</v>
      </c>
      <c r="W15" s="12" t="e">
        <f t="shared" si="7"/>
        <v>#DIV/0!</v>
      </c>
      <c r="X15" s="11">
        <v>6</v>
      </c>
      <c r="Y15" s="4" t="b">
        <f t="shared" si="3"/>
        <v>0</v>
      </c>
      <c r="Z15" s="4" cm="1">
        <f t="array" ref="Z15">IFERROR(_xlfn.XLOOKUP(TRUE,Y15:$Y$21,X15:$X$21),0)</f>
        <v>0</v>
      </c>
      <c r="AA15" s="10">
        <v>3.5</v>
      </c>
    </row>
    <row r="16" spans="1:27" ht="16.5" customHeight="1" x14ac:dyDescent="0.3">
      <c r="A16" s="27"/>
      <c r="B16" s="13" t="s">
        <v>131</v>
      </c>
      <c r="C16" s="2"/>
      <c r="D16" s="7"/>
      <c r="E16" s="5"/>
      <c r="F16" s="105">
        <f t="shared" si="0"/>
        <v>0</v>
      </c>
      <c r="G16" s="106">
        <f t="shared" si="1"/>
        <v>0</v>
      </c>
      <c r="H16" s="107">
        <f t="shared" si="4"/>
        <v>0</v>
      </c>
      <c r="I16" s="35"/>
      <c r="J16" s="36"/>
      <c r="K16" s="29"/>
      <c r="L16" s="8"/>
      <c r="M16" s="52" t="str">
        <f>"Entre  "&amp;O16&amp;"  y  "&amp;P16&amp;"  "&amp;S9</f>
        <v>Entre  1610000  y  1640999  pesos/mes</v>
      </c>
      <c r="N16" s="53">
        <f t="shared" si="2"/>
        <v>1625499.5</v>
      </c>
      <c r="O16" s="55">
        <f t="shared" si="5"/>
        <v>1610000</v>
      </c>
      <c r="P16" s="55">
        <f>ROUND(P15+O19,P19)-1</f>
        <v>1640999</v>
      </c>
      <c r="Q16" s="42"/>
      <c r="R16" s="56">
        <f t="shared" si="6"/>
        <v>31000</v>
      </c>
      <c r="S16"/>
      <c r="T16"/>
      <c r="V16" s="15">
        <f>IFERROR((basicLWB-VLOOKUP(B16,$M$10:$N$18,2,FALSE))*E16*F16,0)</f>
        <v>0</v>
      </c>
      <c r="W16" s="12" t="e">
        <f t="shared" si="7"/>
        <v>#DIV/0!</v>
      </c>
      <c r="X16" s="11">
        <v>7</v>
      </c>
      <c r="Y16" s="4" t="b">
        <f t="shared" si="3"/>
        <v>0</v>
      </c>
      <c r="Z16" s="4" cm="1">
        <f t="array" ref="Z16">IFERROR(_xlfn.XLOOKUP(TRUE,Y16:$Y$21,X16:$X$21),0)</f>
        <v>0</v>
      </c>
      <c r="AA16" s="10">
        <v>3</v>
      </c>
    </row>
    <row r="17" spans="1:27" ht="16.5" customHeight="1" x14ac:dyDescent="0.3">
      <c r="A17" s="27"/>
      <c r="B17" s="13" t="s">
        <v>132</v>
      </c>
      <c r="C17" s="2"/>
      <c r="D17" s="7"/>
      <c r="E17" s="5"/>
      <c r="F17" s="105">
        <f t="shared" si="0"/>
        <v>0</v>
      </c>
      <c r="G17" s="106">
        <f t="shared" si="1"/>
        <v>0</v>
      </c>
      <c r="H17" s="107">
        <f t="shared" si="4"/>
        <v>0</v>
      </c>
      <c r="I17" s="35"/>
      <c r="J17" s="36"/>
      <c r="K17" s="29"/>
      <c r="L17" s="8"/>
      <c r="M17" s="52" t="str">
        <f>"Entre  "&amp;O17&amp;"  y  "&amp;P17&amp;"  "&amp;S9</f>
        <v>Entre  1641000  y  1671999  pesos/mes</v>
      </c>
      <c r="N17" s="53">
        <f t="shared" si="2"/>
        <v>1656499.5</v>
      </c>
      <c r="O17" s="55">
        <f t="shared" si="5"/>
        <v>1641000</v>
      </c>
      <c r="P17" s="55">
        <f>ROUND(P16+O19,P19)-1</f>
        <v>1671999</v>
      </c>
      <c r="Q17" s="42"/>
      <c r="R17" s="56">
        <f t="shared" si="6"/>
        <v>31000</v>
      </c>
      <c r="S17"/>
      <c r="T17"/>
      <c r="V17" s="15">
        <f>IFERROR((basicLWB-VLOOKUP(B17,$M$10:$N$18,2,FALSE))*E17*F17,0)</f>
        <v>0</v>
      </c>
      <c r="W17" s="12" t="e">
        <f t="shared" si="7"/>
        <v>#DIV/0!</v>
      </c>
      <c r="X17" s="11">
        <v>8</v>
      </c>
      <c r="Y17" s="4" t="b">
        <f t="shared" si="3"/>
        <v>0</v>
      </c>
      <c r="Z17" s="4" cm="1">
        <f t="array" ref="Z17">IFERROR(_xlfn.XLOOKUP(TRUE,Y17:$Y$21,X17:$X$21),0)</f>
        <v>0</v>
      </c>
      <c r="AA17" s="10">
        <v>3.5</v>
      </c>
    </row>
    <row r="18" spans="1:27" ht="16.5" customHeight="1" x14ac:dyDescent="0.3">
      <c r="A18" s="27"/>
      <c r="B18" s="13" t="s">
        <v>133</v>
      </c>
      <c r="C18" s="2"/>
      <c r="D18" s="7"/>
      <c r="E18" s="5"/>
      <c r="F18" s="105">
        <f t="shared" si="0"/>
        <v>0</v>
      </c>
      <c r="G18" s="106">
        <f t="shared" si="1"/>
        <v>0</v>
      </c>
      <c r="H18" s="107">
        <f t="shared" si="4"/>
        <v>0</v>
      </c>
      <c r="I18" s="35"/>
      <c r="J18" s="36"/>
      <c r="K18" s="29"/>
      <c r="L18" s="8"/>
      <c r="M18" s="52" t="str">
        <f>"Entre  "&amp;O18&amp;"  y  "&amp;P18&amp;"  "&amp;S9</f>
        <v>Entre  1672000  y  1703986  pesos/mes</v>
      </c>
      <c r="N18" s="53">
        <f t="shared" si="2"/>
        <v>1687993</v>
      </c>
      <c r="O18" s="55">
        <f t="shared" si="5"/>
        <v>1672000</v>
      </c>
      <c r="P18" s="54">
        <v>1703986</v>
      </c>
      <c r="Q18" s="18"/>
      <c r="R18" s="56">
        <f t="shared" si="6"/>
        <v>31987</v>
      </c>
      <c r="S18"/>
      <c r="T18"/>
      <c r="V18" s="15">
        <f>IFERROR((basicLWB-VLOOKUP(B18,$M$10:$N$18,2,FALSE))*E18*F18,0)</f>
        <v>0</v>
      </c>
      <c r="W18" s="12" t="e">
        <f t="shared" si="7"/>
        <v>#DIV/0!</v>
      </c>
      <c r="X18" s="11">
        <v>9</v>
      </c>
      <c r="Y18" s="4" t="b">
        <f t="shared" si="3"/>
        <v>0</v>
      </c>
      <c r="Z18" s="4" cm="1">
        <f t="array" ref="Z18">IFERROR(_xlfn.XLOOKUP(TRUE,Y18:$Y$21,X18:$X$21),0)</f>
        <v>0</v>
      </c>
      <c r="AA18" s="10">
        <v>3</v>
      </c>
    </row>
    <row r="19" spans="1:27" ht="16.5" customHeight="1" x14ac:dyDescent="0.3">
      <c r="A19" s="27"/>
      <c r="B19" s="13"/>
      <c r="C19" s="2"/>
      <c r="D19" s="7"/>
      <c r="E19" s="5"/>
      <c r="F19" s="105">
        <f t="shared" si="0"/>
        <v>0</v>
      </c>
      <c r="G19" s="106">
        <f t="shared" si="1"/>
        <v>0</v>
      </c>
      <c r="H19" s="107">
        <f t="shared" si="4"/>
        <v>0</v>
      </c>
      <c r="I19" s="35"/>
      <c r="J19" s="36"/>
      <c r="K19" s="29"/>
      <c r="L19" s="8"/>
      <c r="M19" s="52"/>
      <c r="N19" s="21">
        <v>6</v>
      </c>
      <c r="O19" s="57">
        <f>ROUND((P18-O10)/9,P19)</f>
        <v>31000</v>
      </c>
      <c r="P19" s="58">
        <v>-3</v>
      </c>
      <c r="Q19" s="18"/>
      <c r="R19"/>
      <c r="S19"/>
      <c r="T19"/>
      <c r="V19" s="15">
        <f>IFERROR((basicLWB-VLOOKUP(B19,$M$10:$N$18,2,FALSE))*E19*F19,0)</f>
        <v>0</v>
      </c>
      <c r="W19" s="12" t="e">
        <f t="shared" si="7"/>
        <v>#DIV/0!</v>
      </c>
      <c r="X19" s="11">
        <v>10</v>
      </c>
      <c r="Y19" s="4" t="b">
        <f t="shared" si="3"/>
        <v>0</v>
      </c>
      <c r="Z19" s="4" cm="1">
        <f t="array" ref="Z19">IFERROR(_xlfn.XLOOKUP(TRUE,Y19:$Y$21,X19:$X$21),0)</f>
        <v>0</v>
      </c>
      <c r="AA19" s="10">
        <v>2.5</v>
      </c>
    </row>
    <row r="20" spans="1:27" ht="16.5" customHeight="1" x14ac:dyDescent="0.3">
      <c r="A20" s="27"/>
      <c r="B20" s="13"/>
      <c r="C20" s="2"/>
      <c r="D20" s="7"/>
      <c r="E20" s="5"/>
      <c r="F20" s="105">
        <f t="shared" si="0"/>
        <v>0</v>
      </c>
      <c r="G20" s="106">
        <f t="shared" si="1"/>
        <v>0</v>
      </c>
      <c r="H20" s="107">
        <f t="shared" ref="H20:H40" si="8">IFERROR(G20/C20,0)</f>
        <v>0</v>
      </c>
      <c r="I20" s="35"/>
      <c r="J20" s="36"/>
      <c r="K20" s="29"/>
      <c r="N20" s="50"/>
      <c r="O20" s="18"/>
      <c r="P20" s="18"/>
      <c r="Q20" s="18"/>
      <c r="R20"/>
      <c r="S20"/>
      <c r="T20"/>
      <c r="V20" s="15">
        <f>IFERROR((basicLWB-VLOOKUP(B20,$M$10:$N$18,2,FALSE))*E20*F20,0)</f>
        <v>0</v>
      </c>
      <c r="W20" s="12" t="e">
        <f t="shared" si="7"/>
        <v>#DIV/0!</v>
      </c>
      <c r="X20" s="11">
        <v>11</v>
      </c>
      <c r="Y20" s="4" t="b">
        <f t="shared" si="3"/>
        <v>0</v>
      </c>
      <c r="Z20" s="4" cm="1">
        <f t="array" ref="Z20">IFERROR(_xlfn.XLOOKUP(TRUE,Y20:$Y$21,X20:$X$21),0)</f>
        <v>0</v>
      </c>
      <c r="AA20" s="10">
        <v>2</v>
      </c>
    </row>
    <row r="21" spans="1:27" ht="16.5" customHeight="1" x14ac:dyDescent="0.3">
      <c r="A21" s="27"/>
      <c r="B21" s="13"/>
      <c r="C21" s="3"/>
      <c r="D21" s="7"/>
      <c r="E21" s="5"/>
      <c r="F21" s="105">
        <f t="shared" si="0"/>
        <v>0</v>
      </c>
      <c r="G21" s="106">
        <f t="shared" si="1"/>
        <v>0</v>
      </c>
      <c r="H21" s="107">
        <f t="shared" si="8"/>
        <v>0</v>
      </c>
      <c r="I21" s="35"/>
      <c r="J21" s="36"/>
      <c r="K21" s="29"/>
      <c r="N21" s="50"/>
      <c r="O21" s="18"/>
      <c r="P21" s="18"/>
      <c r="Q21" s="18"/>
      <c r="R21"/>
      <c r="S21"/>
      <c r="T21"/>
      <c r="V21" s="15">
        <f>IFERROR((basicLWB-VLOOKUP(B21,$M$10:$N$18,2,FALSE))*E21*F21,0)</f>
        <v>0</v>
      </c>
      <c r="W21" s="12" t="e">
        <f t="shared" si="7"/>
        <v>#DIV/0!</v>
      </c>
      <c r="X21" s="11">
        <v>12</v>
      </c>
      <c r="Y21" s="4" t="b">
        <f t="shared" si="3"/>
        <v>0</v>
      </c>
      <c r="Z21" s="4" cm="1">
        <f t="array" ref="Z21">IFERROR(_xlfn.XLOOKUP(TRUE,Y21:$Y$21,X21:$X$21),0)</f>
        <v>0</v>
      </c>
      <c r="AA21" s="10">
        <v>1.5</v>
      </c>
    </row>
    <row r="22" spans="1:27" ht="16.5" customHeight="1" x14ac:dyDescent="0.3">
      <c r="A22" s="27"/>
      <c r="B22" s="13"/>
      <c r="C22" s="3"/>
      <c r="D22" s="7"/>
      <c r="E22" s="5"/>
      <c r="F22" s="105">
        <f t="shared" si="0"/>
        <v>0</v>
      </c>
      <c r="G22" s="106">
        <f t="shared" si="1"/>
        <v>0</v>
      </c>
      <c r="H22" s="107">
        <f t="shared" si="8"/>
        <v>0</v>
      </c>
      <c r="I22" s="35"/>
      <c r="J22" s="36"/>
      <c r="K22" s="29"/>
      <c r="N22" s="50"/>
      <c r="O22" s="18"/>
      <c r="P22" s="18"/>
      <c r="Q22" s="18"/>
      <c r="R22"/>
      <c r="S22"/>
      <c r="T22"/>
      <c r="V22" s="15">
        <f>IFERROR((basicLWB-VLOOKUP(B22,$M$10:$N$18,2,FALSE))*E22*F22,0)</f>
        <v>0</v>
      </c>
      <c r="W22" s="12" t="e">
        <f t="shared" si="7"/>
        <v>#DIV/0!</v>
      </c>
      <c r="X22" s="11"/>
      <c r="Y22" s="4"/>
      <c r="Z22" s="4"/>
      <c r="AA22" s="11">
        <v>1</v>
      </c>
    </row>
    <row r="23" spans="1:27" ht="16.5" customHeight="1" x14ac:dyDescent="0.3">
      <c r="A23" s="27"/>
      <c r="B23" s="13"/>
      <c r="C23" s="3"/>
      <c r="D23" s="7"/>
      <c r="E23" s="5"/>
      <c r="F23" s="105">
        <f t="shared" si="0"/>
        <v>0</v>
      </c>
      <c r="G23" s="106">
        <f t="shared" si="1"/>
        <v>0</v>
      </c>
      <c r="H23" s="107">
        <f t="shared" si="8"/>
        <v>0</v>
      </c>
      <c r="I23" s="35"/>
      <c r="J23" s="36"/>
      <c r="K23" s="29"/>
      <c r="N23" s="50"/>
      <c r="O23" s="18"/>
      <c r="P23" s="18"/>
      <c r="Q23" s="18"/>
      <c r="R23"/>
      <c r="S23"/>
      <c r="T23"/>
      <c r="V23" s="15">
        <f>IFERROR((basicLWB-VLOOKUP(B23,$M$10:$N$18,2,FALSE))*E23*F23,0)</f>
        <v>0</v>
      </c>
      <c r="W23" s="12" t="e">
        <f t="shared" si="7"/>
        <v>#DIV/0!</v>
      </c>
      <c r="X23" s="11"/>
      <c r="Y23" s="4"/>
      <c r="Z23" s="4"/>
      <c r="AA23" s="4"/>
    </row>
    <row r="24" spans="1:27" ht="16.5" customHeight="1" x14ac:dyDescent="0.3">
      <c r="A24" s="27"/>
      <c r="B24" s="13"/>
      <c r="C24" s="3"/>
      <c r="D24" s="7"/>
      <c r="E24" s="5"/>
      <c r="F24" s="105">
        <f t="shared" si="0"/>
        <v>0</v>
      </c>
      <c r="G24" s="106">
        <f t="shared" si="1"/>
        <v>0</v>
      </c>
      <c r="H24" s="107">
        <f t="shared" si="8"/>
        <v>0</v>
      </c>
      <c r="I24" s="35"/>
      <c r="J24" s="36"/>
      <c r="K24" s="29"/>
      <c r="N24" s="50"/>
      <c r="O24" s="18"/>
      <c r="P24" s="18"/>
      <c r="Q24" s="18"/>
      <c r="R24"/>
      <c r="S24"/>
      <c r="T24"/>
      <c r="V24" s="15">
        <f>IFERROR((basicLWB-VLOOKUP(B24,$M$10:$N$18,2,FALSE))*E24*F24,0)</f>
        <v>0</v>
      </c>
      <c r="W24" s="12" t="e">
        <f t="shared" si="7"/>
        <v>#DIV/0!</v>
      </c>
      <c r="X24" s="11"/>
      <c r="Y24" s="4"/>
      <c r="Z24" s="4"/>
      <c r="AA24" s="4"/>
    </row>
    <row r="25" spans="1:27" ht="16.5" customHeight="1" x14ac:dyDescent="0.3">
      <c r="A25" s="27"/>
      <c r="B25" s="13"/>
      <c r="C25" s="3"/>
      <c r="D25" s="7"/>
      <c r="E25" s="5"/>
      <c r="F25" s="105">
        <f t="shared" si="0"/>
        <v>0</v>
      </c>
      <c r="G25" s="106">
        <f t="shared" si="1"/>
        <v>0</v>
      </c>
      <c r="H25" s="107">
        <f t="shared" si="8"/>
        <v>0</v>
      </c>
      <c r="I25" s="35"/>
      <c r="J25" s="36"/>
      <c r="K25" s="29"/>
      <c r="N25" s="50"/>
      <c r="O25" s="18"/>
      <c r="P25" s="18"/>
      <c r="Q25" s="18"/>
      <c r="R25"/>
      <c r="S25"/>
      <c r="T25"/>
      <c r="V25" s="15">
        <f>IFERROR((basicLWB-VLOOKUP(B25,$M$10:$N$18,2,FALSE))*E25*F25,0)</f>
        <v>0</v>
      </c>
      <c r="W25" s="12" t="e">
        <f t="shared" si="7"/>
        <v>#DIV/0!</v>
      </c>
      <c r="X25" s="11"/>
      <c r="Y25" s="4"/>
      <c r="Z25" s="4"/>
      <c r="AA25" s="4"/>
    </row>
    <row r="26" spans="1:27" ht="16.5" customHeight="1" x14ac:dyDescent="0.3">
      <c r="A26" s="27"/>
      <c r="B26" s="13"/>
      <c r="C26" s="3"/>
      <c r="D26" s="7"/>
      <c r="E26" s="5"/>
      <c r="F26" s="105">
        <f t="shared" si="0"/>
        <v>0</v>
      </c>
      <c r="G26" s="106">
        <f t="shared" si="1"/>
        <v>0</v>
      </c>
      <c r="H26" s="107">
        <f t="shared" si="8"/>
        <v>0</v>
      </c>
      <c r="I26" s="35"/>
      <c r="J26" s="36"/>
      <c r="K26" s="29"/>
      <c r="N26" s="50"/>
      <c r="O26" s="18"/>
      <c r="P26" s="18"/>
      <c r="Q26" s="18"/>
      <c r="R26"/>
      <c r="S26"/>
      <c r="T26"/>
      <c r="V26" s="15">
        <f>IFERROR((basicLWB-VLOOKUP(B26,$M$10:$N$18,2,FALSE))*E26*F26,0)</f>
        <v>0</v>
      </c>
      <c r="W26" s="12" t="e">
        <f t="shared" si="7"/>
        <v>#DIV/0!</v>
      </c>
      <c r="X26" s="11"/>
      <c r="Y26" s="4"/>
      <c r="Z26" s="4"/>
      <c r="AA26" s="4"/>
    </row>
    <row r="27" spans="1:27" ht="16.5" customHeight="1" x14ac:dyDescent="0.3">
      <c r="A27" s="27"/>
      <c r="B27" s="13"/>
      <c r="C27" s="3"/>
      <c r="D27" s="7"/>
      <c r="E27" s="5"/>
      <c r="F27" s="105">
        <f t="shared" si="0"/>
        <v>0</v>
      </c>
      <c r="G27" s="106">
        <f t="shared" si="1"/>
        <v>0</v>
      </c>
      <c r="H27" s="107">
        <f t="shared" si="8"/>
        <v>0</v>
      </c>
      <c r="I27" s="35"/>
      <c r="J27" s="36"/>
      <c r="K27" s="29"/>
      <c r="N27" s="50"/>
      <c r="O27" s="18"/>
      <c r="P27" s="18"/>
      <c r="Q27" s="18"/>
      <c r="R27"/>
      <c r="S27"/>
      <c r="T27"/>
      <c r="V27" s="15">
        <f>IFERROR((basicLWB-VLOOKUP(B27,$M$10:$N$18,2,FALSE))*E27*F27,0)</f>
        <v>0</v>
      </c>
      <c r="W27" s="12" t="e">
        <f t="shared" si="7"/>
        <v>#DIV/0!</v>
      </c>
      <c r="X27" s="11"/>
      <c r="Y27" s="4"/>
      <c r="Z27" s="4"/>
      <c r="AA27" s="4"/>
    </row>
    <row r="28" spans="1:27" ht="16.5" customHeight="1" x14ac:dyDescent="0.3">
      <c r="A28" s="27"/>
      <c r="B28" s="13"/>
      <c r="C28" s="3"/>
      <c r="D28" s="7"/>
      <c r="E28" s="5"/>
      <c r="F28" s="105">
        <f t="shared" si="0"/>
        <v>0</v>
      </c>
      <c r="G28" s="106">
        <f t="shared" si="1"/>
        <v>0</v>
      </c>
      <c r="H28" s="107">
        <f t="shared" si="8"/>
        <v>0</v>
      </c>
      <c r="I28" s="35"/>
      <c r="J28" s="36"/>
      <c r="K28" s="29"/>
      <c r="N28" s="50"/>
      <c r="O28" s="18"/>
      <c r="P28" s="18"/>
      <c r="Q28" s="18"/>
      <c r="R28"/>
      <c r="S28"/>
      <c r="T28"/>
      <c r="V28" s="15">
        <f>IFERROR((basicLWB-VLOOKUP(B28,$M$10:$N$18,2,FALSE))*E28*F28,0)</f>
        <v>0</v>
      </c>
      <c r="W28" s="12" t="e">
        <f t="shared" si="7"/>
        <v>#DIV/0!</v>
      </c>
      <c r="X28" s="11"/>
      <c r="Y28" s="4"/>
      <c r="Z28" s="4"/>
      <c r="AA28" s="4"/>
    </row>
    <row r="29" spans="1:27" ht="16.5" customHeight="1" x14ac:dyDescent="0.3">
      <c r="A29" s="27"/>
      <c r="B29" s="13"/>
      <c r="C29" s="3"/>
      <c r="D29" s="7"/>
      <c r="E29" s="5"/>
      <c r="F29" s="105">
        <f t="shared" si="0"/>
        <v>0</v>
      </c>
      <c r="G29" s="106">
        <f t="shared" si="1"/>
        <v>0</v>
      </c>
      <c r="H29" s="107">
        <f t="shared" si="8"/>
        <v>0</v>
      </c>
      <c r="I29" s="35"/>
      <c r="J29" s="17"/>
      <c r="K29" s="29"/>
      <c r="N29" s="50"/>
      <c r="O29" s="18"/>
      <c r="P29" s="18"/>
      <c r="Q29" s="18"/>
      <c r="R29"/>
      <c r="S29"/>
      <c r="T29"/>
      <c r="V29" s="15">
        <f>IFERROR((basicLWB-VLOOKUP(B29,$M$10:$N$18,2,FALSE))*E29*F29,0)</f>
        <v>0</v>
      </c>
      <c r="W29" s="12" t="e">
        <f t="shared" si="7"/>
        <v>#DIV/0!</v>
      </c>
      <c r="X29" s="11"/>
      <c r="Y29" s="4"/>
      <c r="Z29" s="4"/>
      <c r="AA29" s="4"/>
    </row>
    <row r="30" spans="1:27" ht="16.5" customHeight="1" x14ac:dyDescent="0.3">
      <c r="A30" s="27"/>
      <c r="B30" s="13"/>
      <c r="C30" s="3"/>
      <c r="D30" s="7"/>
      <c r="E30" s="5"/>
      <c r="F30" s="105">
        <f t="shared" si="0"/>
        <v>0</v>
      </c>
      <c r="G30" s="106">
        <f t="shared" si="1"/>
        <v>0</v>
      </c>
      <c r="H30" s="107">
        <f t="shared" si="8"/>
        <v>0</v>
      </c>
      <c r="I30" s="35"/>
      <c r="J30" s="37"/>
      <c r="K30" s="29"/>
      <c r="N30" s="50"/>
      <c r="O30" s="18"/>
      <c r="P30" s="18"/>
      <c r="Q30" s="18"/>
      <c r="R30"/>
      <c r="S30"/>
      <c r="T30"/>
      <c r="V30" s="15">
        <f>IFERROR((basicLWB-VLOOKUP(B30,$M$10:$N$18,2,FALSE))*E30*F30,0)</f>
        <v>0</v>
      </c>
      <c r="W30" s="12" t="e">
        <f t="shared" si="7"/>
        <v>#DIV/0!</v>
      </c>
      <c r="X30" s="11"/>
      <c r="Y30" s="4"/>
      <c r="Z30" s="4"/>
      <c r="AA30" s="4"/>
    </row>
    <row r="31" spans="1:27" ht="16.5" customHeight="1" x14ac:dyDescent="0.3">
      <c r="A31" s="27"/>
      <c r="B31" s="13"/>
      <c r="C31" s="3"/>
      <c r="D31" s="7"/>
      <c r="E31" s="5"/>
      <c r="F31" s="105">
        <f t="shared" si="0"/>
        <v>0</v>
      </c>
      <c r="G31" s="106">
        <f t="shared" si="1"/>
        <v>0</v>
      </c>
      <c r="H31" s="107">
        <f t="shared" si="8"/>
        <v>0</v>
      </c>
      <c r="I31" s="35"/>
      <c r="J31" s="17"/>
      <c r="K31" s="29"/>
      <c r="N31" s="50"/>
      <c r="O31" s="18"/>
      <c r="P31" s="18"/>
      <c r="Q31" s="18"/>
      <c r="R31"/>
      <c r="S31"/>
      <c r="T31"/>
      <c r="V31" s="15">
        <f>IFERROR((basicLWB-VLOOKUP(B31,$M$10:$N$18,2,FALSE))*E31*F31,0)</f>
        <v>0</v>
      </c>
      <c r="W31" s="12" t="e">
        <f t="shared" si="7"/>
        <v>#DIV/0!</v>
      </c>
      <c r="X31" s="11"/>
      <c r="Y31" s="4"/>
      <c r="Z31" s="4"/>
      <c r="AA31" s="4"/>
    </row>
    <row r="32" spans="1:27" ht="16.5" customHeight="1" x14ac:dyDescent="0.3">
      <c r="A32" s="27"/>
      <c r="B32" s="14"/>
      <c r="C32" s="3"/>
      <c r="D32" s="1"/>
      <c r="E32" s="5"/>
      <c r="F32" s="105">
        <f t="shared" si="0"/>
        <v>0</v>
      </c>
      <c r="G32" s="106">
        <f t="shared" si="1"/>
        <v>0</v>
      </c>
      <c r="H32" s="107">
        <f t="shared" si="8"/>
        <v>0</v>
      </c>
      <c r="I32" s="35"/>
      <c r="J32" s="17"/>
      <c r="K32" s="29"/>
      <c r="N32" s="50"/>
      <c r="O32" s="18"/>
      <c r="P32" s="18"/>
      <c r="Q32" s="18"/>
      <c r="R32"/>
      <c r="S32"/>
      <c r="T32"/>
      <c r="V32" s="15">
        <f>IFERROR((basicLWB-VLOOKUP(B32,$M$10:$N$18,2,FALSE))*E32*F32,0)</f>
        <v>0</v>
      </c>
      <c r="W32" s="12" t="e">
        <f t="shared" si="7"/>
        <v>#DIV/0!</v>
      </c>
      <c r="X32" s="11"/>
      <c r="Y32" s="4"/>
      <c r="Z32" s="4"/>
      <c r="AA32" s="4"/>
    </row>
    <row r="33" spans="1:27" ht="16.5" customHeight="1" x14ac:dyDescent="0.3">
      <c r="A33" s="27"/>
      <c r="B33" s="14"/>
      <c r="C33" s="3"/>
      <c r="D33" s="1"/>
      <c r="E33" s="5"/>
      <c r="F33" s="105">
        <f t="shared" si="0"/>
        <v>0</v>
      </c>
      <c r="G33" s="106">
        <f t="shared" si="1"/>
        <v>0</v>
      </c>
      <c r="H33" s="107">
        <f t="shared" si="8"/>
        <v>0</v>
      </c>
      <c r="I33" s="35"/>
      <c r="J33" s="17"/>
      <c r="K33" s="29"/>
      <c r="O33" s="18"/>
      <c r="P33" s="18"/>
      <c r="Q33" s="18"/>
      <c r="R33"/>
      <c r="S33"/>
      <c r="T33"/>
      <c r="V33" s="15">
        <f>IFERROR((basicLWB-VLOOKUP(B33,$M$10:$N$18,2,FALSE))*E33*F33,0)</f>
        <v>0</v>
      </c>
      <c r="W33" s="12" t="e">
        <f t="shared" si="7"/>
        <v>#DIV/0!</v>
      </c>
      <c r="X33" s="11"/>
      <c r="Y33" s="4"/>
      <c r="Z33" s="4"/>
      <c r="AA33" s="4"/>
    </row>
    <row r="34" spans="1:27" ht="16.5" customHeight="1" x14ac:dyDescent="0.3">
      <c r="A34" s="27"/>
      <c r="B34" s="14"/>
      <c r="C34" s="3"/>
      <c r="D34" s="1"/>
      <c r="E34" s="5"/>
      <c r="F34" s="105">
        <f t="shared" si="0"/>
        <v>0</v>
      </c>
      <c r="G34" s="106">
        <f t="shared" si="1"/>
        <v>0</v>
      </c>
      <c r="H34" s="107">
        <f t="shared" si="8"/>
        <v>0</v>
      </c>
      <c r="I34" s="35"/>
      <c r="J34" s="17"/>
      <c r="K34" s="29"/>
      <c r="O34" s="18"/>
      <c r="P34" s="18"/>
      <c r="Q34" s="18"/>
      <c r="R34"/>
      <c r="S34"/>
      <c r="T34"/>
      <c r="V34" s="15">
        <f>IFERROR((basicLWB-VLOOKUP(B34,$M$10:$N$18,2,FALSE))*E34*F34,0)</f>
        <v>0</v>
      </c>
      <c r="W34" s="12" t="e">
        <f t="shared" ref="W34:W40" si="9">+V34/LWgap</f>
        <v>#DIV/0!</v>
      </c>
      <c r="X34" s="11"/>
      <c r="Y34" s="4"/>
      <c r="Z34" s="4"/>
      <c r="AA34" s="4"/>
    </row>
    <row r="35" spans="1:27" ht="16.5" customHeight="1" x14ac:dyDescent="0.3">
      <c r="A35" s="27"/>
      <c r="B35" s="14"/>
      <c r="C35" s="3"/>
      <c r="D35" s="1"/>
      <c r="E35" s="5"/>
      <c r="F35" s="105">
        <f t="shared" si="0"/>
        <v>0</v>
      </c>
      <c r="G35" s="106">
        <f t="shared" si="1"/>
        <v>0</v>
      </c>
      <c r="H35" s="107">
        <f t="shared" si="8"/>
        <v>0</v>
      </c>
      <c r="I35" s="35"/>
      <c r="J35" s="17"/>
      <c r="K35" s="29"/>
      <c r="O35" s="18"/>
      <c r="P35" s="18"/>
      <c r="Q35" s="18"/>
      <c r="R35"/>
      <c r="S35"/>
      <c r="T35"/>
      <c r="V35" s="15">
        <f>IFERROR((basicLWB-VLOOKUP(B35,$M$10:$N$18,2,FALSE))*E35*F35,0)</f>
        <v>0</v>
      </c>
      <c r="W35" s="12" t="e">
        <f t="shared" si="9"/>
        <v>#DIV/0!</v>
      </c>
      <c r="X35" s="11"/>
      <c r="Y35" s="4"/>
      <c r="Z35" s="4"/>
      <c r="AA35" s="4"/>
    </row>
    <row r="36" spans="1:27" ht="16.5" customHeight="1" x14ac:dyDescent="0.3">
      <c r="A36" s="27"/>
      <c r="B36" s="14"/>
      <c r="C36" s="3"/>
      <c r="D36" s="1"/>
      <c r="E36" s="5"/>
      <c r="F36" s="105">
        <f t="shared" si="0"/>
        <v>0</v>
      </c>
      <c r="G36" s="106">
        <f t="shared" si="1"/>
        <v>0</v>
      </c>
      <c r="H36" s="107">
        <f t="shared" si="8"/>
        <v>0</v>
      </c>
      <c r="I36" s="35"/>
      <c r="J36" s="37"/>
      <c r="K36" s="29"/>
      <c r="O36" s="18"/>
      <c r="P36" s="18"/>
      <c r="Q36" s="18"/>
      <c r="R36"/>
      <c r="S36"/>
      <c r="T36"/>
      <c r="V36" s="15">
        <f>IFERROR((basicLWB-VLOOKUP(B36,$M$10:$N$18,2,FALSE))*E36*F36,0)</f>
        <v>0</v>
      </c>
      <c r="W36" s="12" t="e">
        <f t="shared" si="9"/>
        <v>#DIV/0!</v>
      </c>
      <c r="X36" s="11"/>
      <c r="Y36" s="4"/>
      <c r="Z36" s="4"/>
      <c r="AA36" s="4"/>
    </row>
    <row r="37" spans="1:27" ht="16.5" customHeight="1" x14ac:dyDescent="0.3">
      <c r="A37" s="27"/>
      <c r="B37" s="14"/>
      <c r="C37" s="3"/>
      <c r="D37" s="1"/>
      <c r="E37" s="5"/>
      <c r="F37" s="105">
        <f t="shared" si="0"/>
        <v>0</v>
      </c>
      <c r="G37" s="106">
        <f t="shared" si="1"/>
        <v>0</v>
      </c>
      <c r="H37" s="107">
        <f t="shared" si="8"/>
        <v>0</v>
      </c>
      <c r="I37" s="35"/>
      <c r="J37" s="37"/>
      <c r="K37" s="29"/>
      <c r="O37" s="18"/>
      <c r="P37" s="18"/>
      <c r="Q37" s="18"/>
      <c r="R37"/>
      <c r="S37"/>
      <c r="T37"/>
      <c r="V37" s="15">
        <f>IFERROR((basicLWB-VLOOKUP(B37,$M$10:$N$18,2,FALSE))*E37*F37,0)</f>
        <v>0</v>
      </c>
      <c r="W37" s="12" t="e">
        <f t="shared" si="9"/>
        <v>#DIV/0!</v>
      </c>
      <c r="X37" s="11"/>
      <c r="Y37" s="4"/>
      <c r="Z37" s="4"/>
      <c r="AA37" s="4"/>
    </row>
    <row r="38" spans="1:27" ht="16.5" customHeight="1" x14ac:dyDescent="0.3">
      <c r="A38" s="27"/>
      <c r="B38" s="14"/>
      <c r="C38" s="3"/>
      <c r="D38" s="1"/>
      <c r="E38" s="5"/>
      <c r="F38" s="105">
        <f t="shared" si="0"/>
        <v>0</v>
      </c>
      <c r="G38" s="106">
        <f t="shared" si="1"/>
        <v>0</v>
      </c>
      <c r="H38" s="107">
        <f t="shared" si="8"/>
        <v>0</v>
      </c>
      <c r="I38" s="35"/>
      <c r="J38" s="17"/>
      <c r="K38" s="29"/>
      <c r="O38" s="18"/>
      <c r="P38" s="18"/>
      <c r="Q38" s="18"/>
      <c r="R38"/>
      <c r="S38"/>
      <c r="T38"/>
      <c r="V38" s="15">
        <f>IFERROR((basicLWB-VLOOKUP(B38,$M$10:$N$18,2,FALSE))*E38*F38,0)</f>
        <v>0</v>
      </c>
      <c r="W38" s="12" t="e">
        <f t="shared" si="9"/>
        <v>#DIV/0!</v>
      </c>
      <c r="X38" s="11"/>
      <c r="Y38" s="4"/>
      <c r="Z38" s="4"/>
      <c r="AA38" s="4"/>
    </row>
    <row r="39" spans="1:27" ht="16.5" customHeight="1" x14ac:dyDescent="0.3">
      <c r="A39" s="27"/>
      <c r="B39" s="14"/>
      <c r="C39" s="3"/>
      <c r="D39" s="1"/>
      <c r="E39" s="5"/>
      <c r="F39" s="105">
        <f t="shared" si="0"/>
        <v>0</v>
      </c>
      <c r="G39" s="106">
        <f t="shared" si="1"/>
        <v>0</v>
      </c>
      <c r="H39" s="107">
        <f t="shared" si="8"/>
        <v>0</v>
      </c>
      <c r="I39" s="35"/>
      <c r="J39" s="17"/>
      <c r="K39" s="29"/>
      <c r="O39" s="18"/>
      <c r="P39" s="18"/>
      <c r="Q39" s="18"/>
      <c r="R39"/>
      <c r="S39"/>
      <c r="T39"/>
      <c r="V39" s="15">
        <f>IFERROR((basicLWB-VLOOKUP(B39,$M$10:$N$18,2,FALSE))*E39*F39,0)</f>
        <v>0</v>
      </c>
      <c r="W39" s="12" t="e">
        <f t="shared" si="9"/>
        <v>#DIV/0!</v>
      </c>
      <c r="X39" s="11"/>
      <c r="Y39" s="4"/>
      <c r="Z39" s="4"/>
      <c r="AA39" s="4"/>
    </row>
    <row r="40" spans="1:27" ht="16.5" customHeight="1" thickBot="1" x14ac:dyDescent="0.35">
      <c r="A40" s="27"/>
      <c r="B40" s="14"/>
      <c r="C40" s="3"/>
      <c r="D40" s="1"/>
      <c r="E40" s="5"/>
      <c r="F40" s="105">
        <f t="shared" si="0"/>
        <v>0</v>
      </c>
      <c r="G40" s="106">
        <f t="shared" si="1"/>
        <v>0</v>
      </c>
      <c r="H40" s="107">
        <f t="shared" si="8"/>
        <v>0</v>
      </c>
      <c r="I40" s="35"/>
      <c r="J40" s="17"/>
      <c r="K40" s="29"/>
      <c r="O40" s="18"/>
      <c r="P40" s="18"/>
      <c r="Q40" s="18"/>
      <c r="R40"/>
      <c r="S40"/>
      <c r="T40"/>
      <c r="V40" s="15">
        <f>IFERROR((basicLWB-VLOOKUP(B40,$M$10:$N$18,2,FALSE))*E40*F40,0)</f>
        <v>0</v>
      </c>
      <c r="W40" s="12" t="e">
        <f t="shared" si="9"/>
        <v>#DIV/0!</v>
      </c>
      <c r="X40" s="11"/>
      <c r="Y40" s="4"/>
      <c r="Z40" s="4"/>
      <c r="AA40" s="4"/>
    </row>
    <row r="41" spans="1:27" ht="16.5" customHeight="1" thickBot="1" x14ac:dyDescent="0.35">
      <c r="A41" s="27"/>
      <c r="B41" s="100" t="s">
        <v>0</v>
      </c>
      <c r="C41" s="101">
        <f>SUM(C10:C40)</f>
        <v>0</v>
      </c>
      <c r="D41" s="101"/>
      <c r="E41" s="102"/>
      <c r="F41" s="102">
        <f>SUM(F10:F40)</f>
        <v>0</v>
      </c>
      <c r="G41" s="103">
        <f>SUM(G10:G40)</f>
        <v>0</v>
      </c>
      <c r="H41" s="104"/>
      <c r="I41" s="38"/>
      <c r="J41" s="17"/>
      <c r="K41" s="29"/>
      <c r="O41" s="18"/>
      <c r="P41" s="18"/>
      <c r="Q41" s="18"/>
      <c r="R41"/>
      <c r="S41"/>
      <c r="T41"/>
      <c r="V41" s="16">
        <f>SUM(V10:V40)</f>
        <v>0</v>
      </c>
      <c r="W41" s="9" t="e">
        <f>SUM(W10:W40)</f>
        <v>#DIV/0!</v>
      </c>
      <c r="X41" s="11"/>
      <c r="Y41" s="4"/>
      <c r="Z41" s="4"/>
      <c r="AA41" s="4"/>
    </row>
    <row r="42" spans="1:27" ht="15.75" customHeight="1" thickBot="1" x14ac:dyDescent="0.35">
      <c r="A42" s="27"/>
      <c r="B42" s="17"/>
      <c r="C42" s="17"/>
      <c r="D42" s="17"/>
      <c r="E42" s="17"/>
      <c r="F42" s="17"/>
      <c r="G42" s="17"/>
      <c r="H42" s="17"/>
      <c r="I42" s="17"/>
      <c r="J42" s="17"/>
      <c r="K42" s="29"/>
      <c r="O42" s="18"/>
      <c r="P42" s="18"/>
      <c r="Q42" s="18"/>
      <c r="R42"/>
      <c r="S42"/>
      <c r="T42"/>
    </row>
    <row r="43" spans="1:27" ht="15.75" customHeight="1" thickBot="1" x14ac:dyDescent="0.35">
      <c r="A43" s="27"/>
      <c r="B43" s="130" t="s">
        <v>1</v>
      </c>
      <c r="C43" s="131"/>
      <c r="D43" s="124" t="s">
        <v>15</v>
      </c>
      <c r="E43" s="125"/>
      <c r="F43" s="125"/>
      <c r="G43" s="126"/>
      <c r="H43" s="104">
        <f>+D6*0.3</f>
        <v>0</v>
      </c>
      <c r="I43" s="45" t="str">
        <f>T9&amp;"/periodo de "&amp;D5&amp;" meses"</f>
        <v>pesos/periodo de  meses</v>
      </c>
      <c r="J43" s="17"/>
      <c r="K43" s="29"/>
      <c r="O43" s="18"/>
      <c r="P43" s="18"/>
      <c r="Q43" s="18"/>
      <c r="R43"/>
      <c r="S43"/>
      <c r="T43"/>
    </row>
    <row r="44" spans="1:27" ht="15.75" customHeight="1" thickBot="1" x14ac:dyDescent="0.35">
      <c r="A44" s="27"/>
      <c r="B44" s="132"/>
      <c r="C44" s="133"/>
      <c r="D44" s="127" t="s">
        <v>52</v>
      </c>
      <c r="E44" s="128"/>
      <c r="F44" s="128"/>
      <c r="G44" s="129"/>
      <c r="H44" s="104">
        <f>G41</f>
        <v>0</v>
      </c>
      <c r="I44" s="45" t="str">
        <f>I43</f>
        <v>pesos/periodo de  meses</v>
      </c>
      <c r="J44" s="17"/>
      <c r="K44" s="29"/>
      <c r="O44" s="18"/>
      <c r="P44" s="18"/>
      <c r="Q44" s="18"/>
      <c r="R44"/>
      <c r="S44"/>
      <c r="T44"/>
    </row>
    <row r="45" spans="1:27" ht="6.75" customHeight="1" x14ac:dyDescent="0.3">
      <c r="A45" s="27"/>
      <c r="B45" s="17"/>
      <c r="C45" s="17"/>
      <c r="D45" s="17"/>
      <c r="E45" s="17"/>
      <c r="F45" s="17"/>
      <c r="G45" s="17"/>
      <c r="H45" s="17"/>
      <c r="I45" s="17"/>
      <c r="J45" s="17"/>
      <c r="K45" s="29"/>
      <c r="O45" s="18"/>
      <c r="P45" s="18"/>
      <c r="Q45" s="18"/>
      <c r="R45"/>
      <c r="S45"/>
      <c r="T45"/>
    </row>
    <row r="46" spans="1:27" ht="15.75" customHeight="1" x14ac:dyDescent="0.3">
      <c r="A46" s="27"/>
      <c r="B46" s="17"/>
      <c r="C46" s="17"/>
      <c r="D46" s="17"/>
      <c r="E46" s="17"/>
      <c r="F46" s="17"/>
      <c r="G46" s="17"/>
      <c r="H46" s="17"/>
      <c r="I46" s="17"/>
      <c r="J46" s="17"/>
      <c r="K46" s="29"/>
      <c r="O46" s="18"/>
      <c r="P46" s="18"/>
      <c r="Q46" s="18"/>
      <c r="R46"/>
      <c r="S46"/>
      <c r="T46"/>
    </row>
    <row r="47" spans="1:27" ht="15" thickBot="1" x14ac:dyDescent="0.35">
      <c r="A47" s="39"/>
      <c r="B47" s="40"/>
      <c r="C47" s="40"/>
      <c r="D47" s="40"/>
      <c r="E47" s="40"/>
      <c r="F47" s="40"/>
      <c r="G47" s="40"/>
      <c r="H47" s="40"/>
      <c r="I47" s="40"/>
      <c r="J47" s="40"/>
      <c r="K47" s="41"/>
      <c r="O47" s="18"/>
      <c r="P47" s="18"/>
      <c r="Q47" s="18"/>
      <c r="R47"/>
      <c r="S47"/>
      <c r="T47"/>
    </row>
    <row r="48" spans="1:27" x14ac:dyDescent="0.3">
      <c r="M48" s="108"/>
      <c r="O48" s="42"/>
      <c r="P48" s="42"/>
      <c r="Q48" s="42"/>
      <c r="R48" s="46"/>
      <c r="S48" s="43"/>
      <c r="T48" s="46"/>
    </row>
    <row r="49" spans="13:20" ht="15.6" x14ac:dyDescent="0.3">
      <c r="M49" s="52"/>
      <c r="N49" s="53"/>
      <c r="O49" s="54"/>
      <c r="P49" s="55"/>
      <c r="Q49" s="42"/>
      <c r="R49" s="56"/>
      <c r="S49" s="46"/>
      <c r="T49" s="46"/>
    </row>
    <row r="50" spans="13:20" ht="15.6" x14ac:dyDescent="0.3">
      <c r="M50" s="52"/>
      <c r="N50" s="53"/>
      <c r="O50" s="55"/>
      <c r="P50" s="55"/>
      <c r="Q50" s="42"/>
      <c r="R50" s="56"/>
      <c r="S50" s="46"/>
      <c r="T50" s="46"/>
    </row>
    <row r="51" spans="13:20" ht="15.6" x14ac:dyDescent="0.3">
      <c r="M51" s="52"/>
      <c r="N51" s="53"/>
      <c r="O51" s="55"/>
      <c r="P51" s="55"/>
      <c r="Q51" s="42"/>
      <c r="R51" s="56"/>
      <c r="S51" s="46"/>
      <c r="T51" s="46"/>
    </row>
    <row r="52" spans="13:20" ht="15.6" x14ac:dyDescent="0.3">
      <c r="M52" s="52"/>
      <c r="N52" s="53"/>
      <c r="O52" s="55"/>
      <c r="P52" s="55"/>
      <c r="Q52" s="42"/>
      <c r="R52" s="56"/>
      <c r="S52" s="46"/>
      <c r="T52" s="46"/>
    </row>
    <row r="53" spans="13:20" ht="15.6" x14ac:dyDescent="0.3">
      <c r="M53" s="52"/>
      <c r="N53" s="53"/>
      <c r="O53" s="55"/>
      <c r="P53" s="55"/>
      <c r="Q53" s="42"/>
      <c r="R53" s="56"/>
      <c r="S53" s="46"/>
      <c r="T53" s="46"/>
    </row>
    <row r="54" spans="13:20" ht="15.6" x14ac:dyDescent="0.3">
      <c r="M54" s="52"/>
      <c r="N54" s="53"/>
      <c r="O54" s="55"/>
      <c r="P54" s="55"/>
      <c r="Q54" s="42"/>
      <c r="R54" s="56"/>
      <c r="S54" s="46"/>
      <c r="T54" s="46"/>
    </row>
    <row r="55" spans="13:20" ht="15.6" x14ac:dyDescent="0.3">
      <c r="M55" s="52"/>
      <c r="N55" s="53"/>
      <c r="O55" s="55"/>
      <c r="P55" s="55"/>
      <c r="Q55" s="42"/>
      <c r="R55" s="56"/>
      <c r="S55" s="46"/>
      <c r="T55" s="46"/>
    </row>
    <row r="56" spans="13:20" ht="15.6" x14ac:dyDescent="0.3">
      <c r="M56" s="52"/>
      <c r="N56" s="53"/>
      <c r="O56" s="55"/>
      <c r="P56" s="55"/>
      <c r="Q56" s="42"/>
      <c r="R56" s="56"/>
      <c r="S56" s="46"/>
      <c r="T56" s="46"/>
    </row>
    <row r="57" spans="13:20" ht="15.6" x14ac:dyDescent="0.3">
      <c r="M57" s="52"/>
      <c r="N57" s="53"/>
      <c r="O57" s="55"/>
      <c r="P57" s="54"/>
      <c r="Q57" s="42"/>
      <c r="R57" s="56"/>
      <c r="S57" s="46"/>
      <c r="T57" s="46"/>
    </row>
    <row r="58" spans="13:20" x14ac:dyDescent="0.3">
      <c r="O58" s="57"/>
      <c r="P58" s="109"/>
      <c r="Q58" s="42"/>
      <c r="R58" s="46"/>
      <c r="S58" s="46"/>
      <c r="T58" s="46"/>
    </row>
    <row r="59" spans="13:20" x14ac:dyDescent="0.3">
      <c r="M59" s="108"/>
      <c r="O59" s="42"/>
      <c r="P59" s="42"/>
      <c r="Q59" s="42"/>
      <c r="R59" s="46"/>
      <c r="S59" s="43"/>
      <c r="T59" s="46"/>
    </row>
    <row r="60" spans="13:20" ht="15.6" x14ac:dyDescent="0.3">
      <c r="M60" s="52"/>
      <c r="N60" s="53"/>
      <c r="O60" s="54"/>
      <c r="P60" s="55"/>
      <c r="Q60" s="42"/>
      <c r="R60" s="56"/>
      <c r="S60" s="46"/>
      <c r="T60" s="46"/>
    </row>
    <row r="61" spans="13:20" ht="15.6" x14ac:dyDescent="0.3">
      <c r="M61" s="52"/>
      <c r="N61" s="53"/>
      <c r="O61" s="55"/>
      <c r="P61" s="55"/>
      <c r="Q61" s="42"/>
      <c r="R61" s="56"/>
      <c r="S61" s="46"/>
      <c r="T61" s="46"/>
    </row>
    <row r="62" spans="13:20" ht="15.6" x14ac:dyDescent="0.3">
      <c r="M62" s="52"/>
      <c r="N62" s="53"/>
      <c r="O62" s="55"/>
      <c r="P62" s="55"/>
      <c r="Q62" s="42"/>
      <c r="R62" s="56"/>
      <c r="S62" s="46"/>
      <c r="T62" s="46"/>
    </row>
    <row r="63" spans="13:20" ht="15.6" x14ac:dyDescent="0.3">
      <c r="M63" s="52"/>
      <c r="N63" s="53"/>
      <c r="O63" s="55"/>
      <c r="P63" s="55"/>
      <c r="Q63" s="42"/>
      <c r="R63" s="56"/>
      <c r="S63" s="46"/>
      <c r="T63" s="46"/>
    </row>
    <row r="64" spans="13:20" ht="15.6" x14ac:dyDescent="0.3">
      <c r="M64" s="52"/>
      <c r="N64" s="53"/>
      <c r="O64" s="55"/>
      <c r="P64" s="55"/>
      <c r="Q64" s="42"/>
      <c r="R64" s="56"/>
      <c r="S64" s="46"/>
      <c r="T64" s="46"/>
    </row>
    <row r="65" spans="13:20" ht="15.6" x14ac:dyDescent="0.3">
      <c r="M65" s="52"/>
      <c r="N65" s="53"/>
      <c r="O65" s="55"/>
      <c r="P65" s="55"/>
      <c r="Q65" s="42"/>
      <c r="R65" s="56"/>
      <c r="S65" s="46"/>
      <c r="T65" s="46"/>
    </row>
    <row r="66" spans="13:20" ht="15.6" x14ac:dyDescent="0.3">
      <c r="M66" s="52"/>
      <c r="N66" s="53"/>
      <c r="O66" s="55"/>
      <c r="P66" s="55"/>
      <c r="Q66" s="42"/>
      <c r="R66" s="56"/>
      <c r="S66" s="46"/>
      <c r="T66" s="46"/>
    </row>
    <row r="67" spans="13:20" ht="15.6" x14ac:dyDescent="0.3">
      <c r="M67" s="52"/>
      <c r="N67" s="53"/>
      <c r="O67" s="55"/>
      <c r="P67" s="55"/>
      <c r="Q67" s="42"/>
      <c r="R67" s="56"/>
      <c r="S67" s="46"/>
      <c r="T67" s="46"/>
    </row>
    <row r="68" spans="13:20" ht="15.6" x14ac:dyDescent="0.3">
      <c r="M68" s="52"/>
      <c r="N68" s="53"/>
      <c r="O68" s="55"/>
      <c r="P68" s="54"/>
      <c r="Q68" s="42"/>
      <c r="R68" s="56"/>
      <c r="S68" s="46"/>
      <c r="T68" s="46"/>
    </row>
    <row r="69" spans="13:20" x14ac:dyDescent="0.3">
      <c r="O69" s="57"/>
      <c r="P69" s="109"/>
      <c r="Q69" s="42"/>
      <c r="R69" s="46"/>
      <c r="S69" s="46"/>
      <c r="T69" s="46"/>
    </row>
    <row r="70" spans="13:20" x14ac:dyDescent="0.3">
      <c r="M70" s="47"/>
      <c r="O70" s="42"/>
      <c r="P70" s="42"/>
      <c r="Q70" s="42"/>
      <c r="R70" s="46"/>
      <c r="S70" s="43"/>
      <c r="T70" s="46"/>
    </row>
    <row r="71" spans="13:20" ht="15.6" x14ac:dyDescent="0.3">
      <c r="M71" s="52"/>
      <c r="N71" s="53"/>
      <c r="O71" s="54"/>
      <c r="P71" s="55"/>
      <c r="Q71" s="42"/>
      <c r="R71" s="56"/>
      <c r="S71" s="46"/>
      <c r="T71" s="46"/>
    </row>
    <row r="72" spans="13:20" ht="15.6" x14ac:dyDescent="0.3">
      <c r="M72" s="52"/>
      <c r="N72" s="53"/>
      <c r="O72" s="55"/>
      <c r="P72" s="55"/>
      <c r="Q72" s="42"/>
      <c r="R72" s="56"/>
      <c r="S72" s="46"/>
      <c r="T72" s="46"/>
    </row>
    <row r="73" spans="13:20" ht="15.6" x14ac:dyDescent="0.3">
      <c r="M73" s="52"/>
      <c r="N73" s="53"/>
      <c r="O73" s="55"/>
      <c r="P73" s="55"/>
      <c r="Q73" s="42"/>
      <c r="R73" s="56"/>
      <c r="S73" s="46"/>
      <c r="T73" s="46"/>
    </row>
    <row r="74" spans="13:20" ht="15.6" x14ac:dyDescent="0.3">
      <c r="M74" s="52"/>
      <c r="N74" s="53"/>
      <c r="O74" s="55"/>
      <c r="P74" s="55"/>
      <c r="Q74" s="42"/>
      <c r="R74" s="56"/>
      <c r="S74" s="46"/>
      <c r="T74" s="46"/>
    </row>
    <row r="75" spans="13:20" ht="15.6" x14ac:dyDescent="0.3">
      <c r="M75" s="52"/>
      <c r="N75" s="53"/>
      <c r="O75" s="55"/>
      <c r="P75" s="55"/>
      <c r="Q75" s="42"/>
      <c r="R75" s="56"/>
      <c r="S75" s="46"/>
      <c r="T75" s="46"/>
    </row>
    <row r="76" spans="13:20" ht="15.6" x14ac:dyDescent="0.3">
      <c r="M76" s="52"/>
      <c r="N76" s="53"/>
      <c r="O76" s="55"/>
      <c r="P76" s="55"/>
      <c r="Q76" s="42"/>
      <c r="R76" s="56"/>
      <c r="S76" s="46"/>
      <c r="T76" s="46"/>
    </row>
    <row r="77" spans="13:20" ht="15.6" x14ac:dyDescent="0.3">
      <c r="M77" s="52"/>
      <c r="N77" s="53"/>
      <c r="O77" s="55"/>
      <c r="P77" s="55"/>
      <c r="Q77" s="42"/>
      <c r="R77" s="56"/>
      <c r="S77" s="46"/>
      <c r="T77" s="46"/>
    </row>
    <row r="78" spans="13:20" ht="15.6" x14ac:dyDescent="0.3">
      <c r="M78" s="52"/>
      <c r="N78" s="53"/>
      <c r="O78" s="55"/>
      <c r="P78" s="55"/>
      <c r="Q78" s="42"/>
      <c r="R78" s="56"/>
      <c r="S78" s="46"/>
      <c r="T78" s="46"/>
    </row>
    <row r="79" spans="13:20" ht="15.6" x14ac:dyDescent="0.3">
      <c r="M79" s="52"/>
      <c r="N79" s="53"/>
      <c r="O79" s="55"/>
      <c r="P79" s="54"/>
      <c r="Q79" s="42"/>
      <c r="R79" s="56"/>
      <c r="S79" s="46"/>
      <c r="T79" s="46"/>
    </row>
    <row r="80" spans="13:20" x14ac:dyDescent="0.3">
      <c r="O80" s="57"/>
      <c r="P80" s="109"/>
      <c r="Q80" s="42"/>
      <c r="R80" s="46"/>
      <c r="S80" s="46"/>
      <c r="T80" s="46"/>
    </row>
    <row r="81" spans="13:20" x14ac:dyDescent="0.3">
      <c r="M81" s="47"/>
      <c r="O81" s="42"/>
      <c r="P81" s="42"/>
      <c r="Q81" s="42"/>
      <c r="R81" s="46"/>
      <c r="S81" s="43"/>
      <c r="T81" s="46"/>
    </row>
    <row r="82" spans="13:20" ht="15.6" x14ac:dyDescent="0.3">
      <c r="M82" s="52"/>
      <c r="N82" s="53"/>
      <c r="O82" s="54"/>
      <c r="P82" s="55"/>
      <c r="Q82" s="42"/>
      <c r="R82" s="56"/>
      <c r="S82" s="46"/>
      <c r="T82" s="46"/>
    </row>
    <row r="83" spans="13:20" ht="15.6" x14ac:dyDescent="0.3">
      <c r="M83" s="52"/>
      <c r="N83" s="53"/>
      <c r="O83" s="55"/>
      <c r="P83" s="55"/>
      <c r="Q83" s="42"/>
      <c r="R83" s="56"/>
      <c r="S83" s="46"/>
      <c r="T83" s="46"/>
    </row>
    <row r="84" spans="13:20" ht="15.6" x14ac:dyDescent="0.3">
      <c r="M84" s="52"/>
      <c r="N84" s="53"/>
      <c r="O84" s="55"/>
      <c r="P84" s="55"/>
      <c r="Q84" s="42"/>
      <c r="R84" s="56"/>
      <c r="S84" s="46"/>
      <c r="T84" s="46"/>
    </row>
    <row r="85" spans="13:20" ht="15.6" x14ac:dyDescent="0.3">
      <c r="M85" s="52"/>
      <c r="N85" s="53"/>
      <c r="O85" s="55"/>
      <c r="P85" s="55"/>
      <c r="Q85" s="42"/>
      <c r="R85" s="56"/>
      <c r="S85" s="46"/>
      <c r="T85" s="46"/>
    </row>
    <row r="86" spans="13:20" ht="15.6" x14ac:dyDescent="0.3">
      <c r="M86" s="52"/>
      <c r="N86" s="53"/>
      <c r="O86" s="55"/>
      <c r="P86" s="55"/>
      <c r="Q86" s="42"/>
      <c r="R86" s="56"/>
      <c r="S86" s="46"/>
      <c r="T86" s="46"/>
    </row>
    <row r="87" spans="13:20" ht="15.6" x14ac:dyDescent="0.3">
      <c r="M87" s="52"/>
      <c r="N87" s="53"/>
      <c r="O87" s="55"/>
      <c r="P87" s="55"/>
      <c r="Q87" s="42"/>
      <c r="R87" s="56"/>
      <c r="S87" s="46"/>
      <c r="T87" s="46"/>
    </row>
    <row r="88" spans="13:20" ht="15.6" x14ac:dyDescent="0.3">
      <c r="M88" s="52"/>
      <c r="N88" s="53"/>
      <c r="O88" s="55"/>
      <c r="P88" s="55"/>
      <c r="Q88" s="42"/>
      <c r="R88" s="56"/>
      <c r="S88" s="46"/>
      <c r="T88" s="46"/>
    </row>
    <row r="89" spans="13:20" ht="15.6" x14ac:dyDescent="0.3">
      <c r="M89" s="52"/>
      <c r="N89" s="53"/>
      <c r="O89" s="55"/>
      <c r="P89" s="55"/>
      <c r="Q89" s="42"/>
      <c r="R89" s="56"/>
      <c r="S89" s="46"/>
      <c r="T89" s="46"/>
    </row>
    <row r="90" spans="13:20" ht="15.6" x14ac:dyDescent="0.3">
      <c r="M90" s="52"/>
      <c r="N90" s="53"/>
      <c r="O90" s="55"/>
      <c r="P90" s="54"/>
      <c r="Q90" s="42"/>
      <c r="R90" s="56"/>
      <c r="S90" s="46"/>
      <c r="T90" s="46"/>
    </row>
    <row r="91" spans="13:20" x14ac:dyDescent="0.3">
      <c r="O91" s="57"/>
      <c r="P91" s="109"/>
      <c r="Q91" s="42"/>
      <c r="R91" s="46"/>
      <c r="S91" s="46"/>
      <c r="T91" s="46"/>
    </row>
    <row r="92" spans="13:20" x14ac:dyDescent="0.3">
      <c r="M92" s="47"/>
      <c r="O92" s="42"/>
      <c r="P92" s="42"/>
      <c r="Q92" s="42"/>
      <c r="R92" s="46"/>
      <c r="S92" s="43"/>
      <c r="T92" s="46"/>
    </row>
    <row r="93" spans="13:20" ht="15.6" x14ac:dyDescent="0.3">
      <c r="M93" s="52"/>
      <c r="N93" s="53"/>
      <c r="O93" s="54"/>
      <c r="P93" s="55"/>
      <c r="Q93" s="42"/>
      <c r="R93" s="56"/>
      <c r="S93" s="46"/>
      <c r="T93" s="46"/>
    </row>
    <row r="94" spans="13:20" ht="15.6" x14ac:dyDescent="0.3">
      <c r="M94" s="52"/>
      <c r="N94" s="53"/>
      <c r="O94" s="55"/>
      <c r="P94" s="55"/>
      <c r="Q94" s="42"/>
      <c r="R94" s="56"/>
      <c r="S94" s="46"/>
      <c r="T94" s="46"/>
    </row>
    <row r="95" spans="13:20" ht="15.6" x14ac:dyDescent="0.3">
      <c r="M95" s="52"/>
      <c r="N95" s="53"/>
      <c r="O95" s="55"/>
      <c r="P95" s="55"/>
      <c r="Q95" s="42"/>
      <c r="R95" s="56"/>
      <c r="S95" s="46"/>
      <c r="T95" s="46"/>
    </row>
    <row r="96" spans="13:20" ht="15.6" x14ac:dyDescent="0.3">
      <c r="M96" s="52"/>
      <c r="N96" s="53"/>
      <c r="O96" s="55"/>
      <c r="P96" s="55"/>
      <c r="Q96" s="42"/>
      <c r="R96" s="56"/>
      <c r="S96" s="46"/>
      <c r="T96" s="46"/>
    </row>
    <row r="97" spans="13:20" ht="15.6" x14ac:dyDescent="0.3">
      <c r="M97" s="52"/>
      <c r="N97" s="53"/>
      <c r="O97" s="55"/>
      <c r="P97" s="55"/>
      <c r="Q97" s="42"/>
      <c r="R97" s="56"/>
      <c r="S97" s="46"/>
      <c r="T97" s="46"/>
    </row>
    <row r="98" spans="13:20" ht="15.6" x14ac:dyDescent="0.3">
      <c r="M98" s="52"/>
      <c r="N98" s="53"/>
      <c r="O98" s="55"/>
      <c r="P98" s="55"/>
      <c r="Q98" s="42"/>
      <c r="R98" s="56"/>
      <c r="S98" s="46"/>
      <c r="T98" s="46"/>
    </row>
    <row r="99" spans="13:20" ht="15.6" x14ac:dyDescent="0.3">
      <c r="M99" s="52"/>
      <c r="N99" s="53"/>
      <c r="O99" s="55"/>
      <c r="P99" s="55"/>
      <c r="Q99" s="42"/>
      <c r="R99" s="56"/>
      <c r="S99" s="46"/>
      <c r="T99" s="46"/>
    </row>
    <row r="100" spans="13:20" ht="15.6" x14ac:dyDescent="0.3">
      <c r="M100" s="52"/>
      <c r="N100" s="53"/>
      <c r="O100" s="55"/>
      <c r="P100" s="55"/>
      <c r="Q100" s="42"/>
      <c r="R100" s="56"/>
      <c r="S100" s="46"/>
      <c r="T100" s="46"/>
    </row>
    <row r="101" spans="13:20" ht="15.6" x14ac:dyDescent="0.3">
      <c r="M101" s="52"/>
      <c r="N101" s="53"/>
      <c r="O101" s="55"/>
      <c r="P101" s="54"/>
      <c r="Q101" s="42"/>
      <c r="R101" s="56"/>
      <c r="S101" s="46"/>
      <c r="T101" s="46"/>
    </row>
    <row r="102" spans="13:20" x14ac:dyDescent="0.3">
      <c r="O102" s="57"/>
      <c r="P102" s="109"/>
      <c r="Q102" s="42"/>
      <c r="R102" s="46"/>
      <c r="S102" s="46"/>
      <c r="T102" s="46"/>
    </row>
    <row r="103" spans="13:20" x14ac:dyDescent="0.3">
      <c r="M103" s="47"/>
      <c r="O103" s="42"/>
      <c r="P103" s="42"/>
      <c r="Q103" s="42"/>
      <c r="R103" s="46"/>
      <c r="S103" s="43"/>
      <c r="T103" s="46"/>
    </row>
    <row r="104" spans="13:20" ht="15.6" x14ac:dyDescent="0.3">
      <c r="M104" s="52"/>
      <c r="N104" s="53"/>
      <c r="O104" s="54"/>
      <c r="P104" s="55"/>
      <c r="Q104" s="42"/>
      <c r="R104" s="56"/>
      <c r="S104" s="46"/>
      <c r="T104" s="46"/>
    </row>
    <row r="105" spans="13:20" ht="15.6" x14ac:dyDescent="0.3">
      <c r="M105" s="52"/>
      <c r="N105" s="53"/>
      <c r="O105" s="55"/>
      <c r="P105" s="55"/>
      <c r="Q105" s="42"/>
      <c r="R105" s="56"/>
      <c r="S105" s="46"/>
      <c r="T105" s="46"/>
    </row>
    <row r="106" spans="13:20" ht="15.6" x14ac:dyDescent="0.3">
      <c r="M106" s="52"/>
      <c r="N106" s="53"/>
      <c r="O106" s="55"/>
      <c r="P106" s="55"/>
      <c r="Q106" s="42"/>
      <c r="R106" s="56"/>
      <c r="S106" s="46"/>
      <c r="T106" s="46"/>
    </row>
    <row r="107" spans="13:20" ht="15.6" x14ac:dyDescent="0.3">
      <c r="M107" s="52"/>
      <c r="N107" s="53"/>
      <c r="O107" s="55"/>
      <c r="P107" s="55"/>
      <c r="Q107" s="42"/>
      <c r="R107" s="56"/>
      <c r="S107" s="46"/>
      <c r="T107" s="46"/>
    </row>
    <row r="108" spans="13:20" ht="15.6" x14ac:dyDescent="0.3">
      <c r="M108" s="52"/>
      <c r="N108" s="53"/>
      <c r="O108" s="55"/>
      <c r="P108" s="55"/>
      <c r="Q108" s="42"/>
      <c r="R108" s="56"/>
      <c r="S108" s="46"/>
      <c r="T108" s="46"/>
    </row>
    <row r="109" spans="13:20" ht="15.6" x14ac:dyDescent="0.3">
      <c r="M109" s="52"/>
      <c r="N109" s="53"/>
      <c r="O109" s="55"/>
      <c r="P109" s="55"/>
      <c r="Q109" s="42"/>
      <c r="R109" s="56"/>
      <c r="S109" s="46"/>
      <c r="T109" s="46"/>
    </row>
    <row r="110" spans="13:20" ht="15.6" x14ac:dyDescent="0.3">
      <c r="M110" s="52"/>
      <c r="N110" s="53"/>
      <c r="O110" s="55"/>
      <c r="P110" s="55"/>
      <c r="Q110" s="42"/>
      <c r="R110" s="56"/>
      <c r="S110" s="46"/>
      <c r="T110" s="46"/>
    </row>
    <row r="111" spans="13:20" ht="15.6" x14ac:dyDescent="0.3">
      <c r="M111" s="52"/>
      <c r="N111" s="53"/>
      <c r="O111" s="55"/>
      <c r="P111" s="55"/>
      <c r="Q111" s="42"/>
      <c r="R111" s="56"/>
      <c r="S111" s="46"/>
      <c r="T111" s="46"/>
    </row>
    <row r="112" spans="13:20" ht="15.6" x14ac:dyDescent="0.3">
      <c r="M112" s="52"/>
      <c r="N112" s="53"/>
      <c r="O112" s="55"/>
      <c r="P112" s="54"/>
      <c r="Q112" s="42"/>
      <c r="R112" s="56"/>
      <c r="S112" s="46"/>
      <c r="T112" s="46"/>
    </row>
    <row r="113" spans="13:20" x14ac:dyDescent="0.3">
      <c r="O113" s="57"/>
      <c r="P113" s="109"/>
      <c r="Q113" s="42"/>
      <c r="R113" s="46"/>
      <c r="S113" s="46"/>
      <c r="T113" s="46"/>
    </row>
    <row r="114" spans="13:20" x14ac:dyDescent="0.3">
      <c r="M114" s="47"/>
      <c r="O114" s="42"/>
      <c r="P114" s="42"/>
      <c r="Q114" s="42"/>
      <c r="R114" s="46"/>
      <c r="S114" s="43"/>
      <c r="T114" s="46"/>
    </row>
    <row r="115" spans="13:20" ht="15.6" x14ac:dyDescent="0.3">
      <c r="M115" s="52"/>
      <c r="N115" s="53"/>
      <c r="O115" s="54"/>
      <c r="P115" s="55"/>
      <c r="Q115" s="42"/>
      <c r="R115" s="56"/>
      <c r="S115" s="46"/>
      <c r="T115" s="46"/>
    </row>
    <row r="116" spans="13:20" ht="15.6" x14ac:dyDescent="0.3">
      <c r="M116" s="52"/>
      <c r="N116" s="53"/>
      <c r="O116" s="55"/>
      <c r="P116" s="55"/>
      <c r="Q116" s="42"/>
      <c r="R116" s="56"/>
      <c r="S116" s="46"/>
      <c r="T116" s="46"/>
    </row>
    <row r="117" spans="13:20" ht="15.6" x14ac:dyDescent="0.3">
      <c r="M117" s="52"/>
      <c r="N117" s="53"/>
      <c r="O117" s="55"/>
      <c r="P117" s="55"/>
      <c r="Q117" s="42"/>
      <c r="R117" s="56"/>
      <c r="S117" s="46"/>
      <c r="T117" s="46"/>
    </row>
    <row r="118" spans="13:20" ht="15.6" x14ac:dyDescent="0.3">
      <c r="M118" s="52"/>
      <c r="N118" s="53"/>
      <c r="O118" s="55"/>
      <c r="P118" s="55"/>
      <c r="Q118" s="42"/>
      <c r="R118" s="56"/>
      <c r="S118" s="46"/>
      <c r="T118" s="46"/>
    </row>
    <row r="119" spans="13:20" ht="15.6" x14ac:dyDescent="0.3">
      <c r="M119" s="52"/>
      <c r="N119" s="53"/>
      <c r="O119" s="55"/>
      <c r="P119" s="55"/>
      <c r="Q119" s="42"/>
      <c r="R119" s="56"/>
      <c r="S119" s="46"/>
      <c r="T119" s="46"/>
    </row>
    <row r="120" spans="13:20" ht="15.6" x14ac:dyDescent="0.3">
      <c r="M120" s="52"/>
      <c r="N120" s="53"/>
      <c r="O120" s="55"/>
      <c r="P120" s="55"/>
      <c r="Q120" s="42"/>
      <c r="R120" s="56"/>
      <c r="S120" s="46"/>
      <c r="T120" s="46"/>
    </row>
    <row r="121" spans="13:20" ht="15.6" x14ac:dyDescent="0.3">
      <c r="M121" s="52"/>
      <c r="N121" s="53"/>
      <c r="O121" s="55"/>
      <c r="P121" s="55"/>
      <c r="Q121" s="42"/>
      <c r="R121" s="56"/>
      <c r="S121" s="46"/>
      <c r="T121" s="46"/>
    </row>
    <row r="122" spans="13:20" ht="15.6" x14ac:dyDescent="0.3">
      <c r="M122" s="52"/>
      <c r="N122" s="53"/>
      <c r="O122" s="55"/>
      <c r="P122" s="55"/>
      <c r="Q122" s="42"/>
      <c r="R122" s="56"/>
      <c r="S122" s="46"/>
      <c r="T122" s="46"/>
    </row>
    <row r="123" spans="13:20" ht="15.6" x14ac:dyDescent="0.3">
      <c r="M123" s="52"/>
      <c r="N123" s="53"/>
      <c r="O123" s="55"/>
      <c r="P123" s="54"/>
      <c r="Q123" s="42"/>
      <c r="R123" s="56"/>
      <c r="S123" s="46"/>
      <c r="T123" s="46"/>
    </row>
    <row r="124" spans="13:20" x14ac:dyDescent="0.3">
      <c r="O124" s="57"/>
      <c r="P124" s="109"/>
      <c r="Q124" s="42"/>
      <c r="R124" s="46"/>
      <c r="S124" s="46"/>
      <c r="T124" s="46"/>
    </row>
    <row r="125" spans="13:20" x14ac:dyDescent="0.3">
      <c r="M125" s="47"/>
      <c r="O125" s="42"/>
      <c r="P125" s="42"/>
      <c r="Q125" s="42"/>
      <c r="R125" s="46"/>
      <c r="S125" s="43"/>
      <c r="T125" s="43"/>
    </row>
    <row r="126" spans="13:20" ht="15.6" x14ac:dyDescent="0.3">
      <c r="M126" s="52"/>
      <c r="N126" s="53"/>
      <c r="O126" s="54"/>
      <c r="P126" s="55"/>
      <c r="Q126" s="42"/>
      <c r="R126" s="56"/>
      <c r="S126" s="46"/>
      <c r="T126" s="46"/>
    </row>
    <row r="127" spans="13:20" ht="15.6" x14ac:dyDescent="0.3">
      <c r="M127" s="52"/>
      <c r="N127" s="53"/>
      <c r="O127" s="55"/>
      <c r="P127" s="55"/>
      <c r="Q127" s="42"/>
      <c r="R127" s="56"/>
      <c r="S127" s="46"/>
      <c r="T127" s="46"/>
    </row>
    <row r="128" spans="13:20" ht="15.6" x14ac:dyDescent="0.3">
      <c r="M128" s="52"/>
      <c r="N128" s="53"/>
      <c r="O128" s="55"/>
      <c r="P128" s="55"/>
      <c r="Q128" s="42"/>
      <c r="R128" s="56"/>
      <c r="S128" s="46"/>
      <c r="T128" s="46"/>
    </row>
    <row r="129" spans="13:20" ht="15.6" x14ac:dyDescent="0.3">
      <c r="M129" s="52"/>
      <c r="N129" s="53"/>
      <c r="O129" s="55"/>
      <c r="P129" s="55"/>
      <c r="Q129" s="42"/>
      <c r="R129" s="56"/>
      <c r="S129" s="46"/>
      <c r="T129" s="46"/>
    </row>
    <row r="130" spans="13:20" ht="15.6" x14ac:dyDescent="0.3">
      <c r="M130" s="52"/>
      <c r="N130" s="53"/>
      <c r="O130" s="55"/>
      <c r="P130" s="55"/>
      <c r="Q130" s="42"/>
      <c r="R130" s="56"/>
      <c r="S130" s="46"/>
      <c r="T130" s="46"/>
    </row>
    <row r="131" spans="13:20" ht="15.6" x14ac:dyDescent="0.3">
      <c r="M131" s="52"/>
      <c r="N131" s="53"/>
      <c r="O131" s="55"/>
      <c r="P131" s="55"/>
      <c r="Q131" s="42"/>
      <c r="R131" s="56"/>
      <c r="S131" s="46"/>
      <c r="T131" s="46"/>
    </row>
    <row r="132" spans="13:20" ht="15.6" x14ac:dyDescent="0.3">
      <c r="M132" s="52"/>
      <c r="N132" s="53"/>
      <c r="O132" s="55"/>
      <c r="P132" s="55"/>
      <c r="Q132" s="42"/>
      <c r="R132" s="56"/>
      <c r="S132" s="46"/>
      <c r="T132" s="46"/>
    </row>
    <row r="133" spans="13:20" ht="15.6" x14ac:dyDescent="0.3">
      <c r="M133" s="52"/>
      <c r="N133" s="53"/>
      <c r="O133" s="55"/>
      <c r="P133" s="55"/>
      <c r="Q133" s="42"/>
      <c r="R133" s="56"/>
      <c r="S133" s="46"/>
      <c r="T133" s="46"/>
    </row>
    <row r="134" spans="13:20" ht="15.6" x14ac:dyDescent="0.3">
      <c r="M134" s="52"/>
      <c r="N134" s="53"/>
      <c r="O134" s="55"/>
      <c r="P134" s="54"/>
      <c r="Q134" s="42"/>
      <c r="R134" s="56"/>
      <c r="S134" s="46"/>
      <c r="T134" s="46"/>
    </row>
    <row r="135" spans="13:20" x14ac:dyDescent="0.3">
      <c r="O135" s="57"/>
      <c r="P135" s="109"/>
      <c r="Q135" s="42"/>
      <c r="R135" s="46"/>
      <c r="S135" s="46"/>
      <c r="T135" s="46"/>
    </row>
  </sheetData>
  <sheetProtection algorithmName="SHA-512" hashValue="mWUV+Lgpz/VsxoRPiSh0Rnh/mLicVVdc6kI5EVrvPFEjdRD8gxBvO/sRSNjyJRBw7x8bCrfDkdhcZbZ4/VwL6g==" saltValue="Ctu4cqMkEiISX4CmJXikkA==" spinCount="100000" sheet="1" formatCells="0"/>
  <dataConsolidate/>
  <mergeCells count="13">
    <mergeCell ref="J2:J3"/>
    <mergeCell ref="J4:J10"/>
    <mergeCell ref="B2:H2"/>
    <mergeCell ref="D43:G43"/>
    <mergeCell ref="D44:G44"/>
    <mergeCell ref="B43:C44"/>
    <mergeCell ref="B5:C5"/>
    <mergeCell ref="B4:C4"/>
    <mergeCell ref="B6:C6"/>
    <mergeCell ref="F4:G4"/>
    <mergeCell ref="F5:G5"/>
    <mergeCell ref="B7:C7"/>
    <mergeCell ref="F6:G6"/>
  </mergeCells>
  <conditionalFormatting sqref="E10:E40">
    <cfRule type="expression" dxfId="6" priority="1">
      <formula>E10&gt;$D$5</formula>
    </cfRule>
  </conditionalFormatting>
  <dataValidations count="3">
    <dataValidation type="list" allowBlank="1" showInputMessage="1" showErrorMessage="1" sqref="B10:B40" xr:uid="{9E7304B4-9C79-4ACE-8E00-CFB9C8347549}">
      <formula1>$M$10:$M$18</formula1>
    </dataValidation>
    <dataValidation type="list" allowBlank="1" showInputMessage="1" showErrorMessage="1" sqref="E10:E40" xr:uid="{47EB80B6-2E32-4F6B-98BF-39AFD27E1D41}">
      <formula1>$Z$10:$Z$21</formula1>
    </dataValidation>
    <dataValidation type="list" allowBlank="1" showInputMessage="1" showErrorMessage="1" sqref="D10:D40" xr:uid="{8D9F9D9A-AEEC-4318-B3A3-3E3024B3030C}">
      <formula1>$AA$10:$AA$22</formula1>
    </dataValidation>
  </dataValidations>
  <pageMargins left="0.7" right="0.7" top="0.75" bottom="0.75" header="0.3" footer="0.3"/>
  <pageSetup orientation="portrait" horizontalDpi="300" verticalDpi="30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DC1A2D-C1B0-4A88-9146-8EB8CEB28A05}">
  <dimension ref="A1:AA135"/>
  <sheetViews>
    <sheetView showGridLines="0" showRowColHeaders="0" zoomScaleNormal="100" workbookViewId="0"/>
  </sheetViews>
  <sheetFormatPr defaultColWidth="11.5546875" defaultRowHeight="14.4" x14ac:dyDescent="0.3"/>
  <cols>
    <col min="1" max="1" width="1.6640625" customWidth="1"/>
    <col min="2" max="2" width="36.33203125" customWidth="1"/>
    <col min="3" max="5" width="12.88671875" customWidth="1"/>
    <col min="6" max="8" width="19.21875" customWidth="1"/>
    <col min="9" max="9" width="2" customWidth="1"/>
    <col min="10" max="10" width="29.88671875" bestFit="1" customWidth="1"/>
    <col min="11" max="11" width="1.88671875" customWidth="1"/>
    <col min="12" max="12" width="5.109375" style="11" customWidth="1"/>
    <col min="13" max="13" width="37.109375" style="48" hidden="1" customWidth="1"/>
    <col min="14" max="14" width="10.6640625" style="21" hidden="1" customWidth="1"/>
    <col min="15" max="15" width="13.6640625" style="21" hidden="1" customWidth="1"/>
    <col min="16" max="16" width="11.44140625" style="21" hidden="1" customWidth="1"/>
    <col min="17" max="17" width="5.33203125" style="21" hidden="1" customWidth="1"/>
    <col min="18" max="18" width="11.44140625" style="4" hidden="1" customWidth="1"/>
    <col min="19" max="20" width="11.5546875" style="4" hidden="1" customWidth="1"/>
    <col min="21" max="21" width="11.5546875" style="18" hidden="1" customWidth="1"/>
    <col min="22" max="22" width="14.6640625" style="18" hidden="1" customWidth="1"/>
    <col min="23" max="23" width="11.5546875" style="18" hidden="1" customWidth="1"/>
    <col min="24" max="27" width="11.5546875" hidden="1" customWidth="1"/>
  </cols>
  <sheetData>
    <row r="1" spans="1:27" ht="9" customHeight="1" thickBot="1" x14ac:dyDescent="0.35">
      <c r="A1" s="24"/>
      <c r="B1" s="25"/>
      <c r="C1" s="25"/>
      <c r="D1" s="25"/>
      <c r="E1" s="25"/>
      <c r="F1" s="25"/>
      <c r="G1" s="25"/>
      <c r="H1" s="25"/>
      <c r="I1" s="25"/>
      <c r="J1" s="25"/>
      <c r="K1" s="26"/>
    </row>
    <row r="2" spans="1:27" ht="46.8" customHeight="1" thickBot="1" x14ac:dyDescent="0.35">
      <c r="A2" s="27"/>
      <c r="B2" s="121" t="s">
        <v>68</v>
      </c>
      <c r="C2" s="122"/>
      <c r="D2" s="122"/>
      <c r="E2" s="122"/>
      <c r="F2" s="122"/>
      <c r="G2" s="122"/>
      <c r="H2" s="123"/>
      <c r="I2" s="28"/>
      <c r="J2" s="116" t="s">
        <v>26</v>
      </c>
      <c r="K2" s="29"/>
    </row>
    <row r="3" spans="1:27" ht="10.5" customHeight="1" thickBot="1" x14ac:dyDescent="0.35">
      <c r="A3" s="27"/>
      <c r="B3" s="17"/>
      <c r="C3" s="17"/>
      <c r="D3" s="17"/>
      <c r="E3" s="17"/>
      <c r="F3" s="17"/>
      <c r="G3" s="17"/>
      <c r="H3" s="17"/>
      <c r="I3" s="17"/>
      <c r="J3" s="117"/>
      <c r="K3" s="29"/>
    </row>
    <row r="4" spans="1:27" ht="16.2" customHeight="1" thickBot="1" x14ac:dyDescent="0.35">
      <c r="A4" s="27"/>
      <c r="B4" s="136" t="s">
        <v>18</v>
      </c>
      <c r="C4" s="137"/>
      <c r="D4" s="22"/>
      <c r="E4" s="31"/>
      <c r="F4" s="140" t="s">
        <v>36</v>
      </c>
      <c r="G4" s="141"/>
      <c r="H4" s="19"/>
      <c r="I4" s="31" t="s">
        <v>27</v>
      </c>
      <c r="J4" s="118" t="s">
        <v>54</v>
      </c>
      <c r="K4" s="29"/>
    </row>
    <row r="5" spans="1:27" ht="48.6" customHeight="1" thickBot="1" x14ac:dyDescent="0.35">
      <c r="A5" s="27"/>
      <c r="B5" s="134" t="s">
        <v>35</v>
      </c>
      <c r="C5" s="135"/>
      <c r="D5" s="20"/>
      <c r="E5" s="113" t="s">
        <v>27</v>
      </c>
      <c r="F5" s="142" t="str">
        <f>"Producción de cajas en el período de los "&amp;D5&amp;" meses (expresadas en cajas de 18.14 kg):"</f>
        <v>Producción de cajas en el período de los  meses (expresadas en cajas de 18.14 kg):</v>
      </c>
      <c r="G5" s="143"/>
      <c r="H5" s="19"/>
      <c r="I5" s="31" t="s">
        <v>27</v>
      </c>
      <c r="J5" s="119"/>
      <c r="K5" s="29"/>
    </row>
    <row r="6" spans="1:27" ht="31.8" customHeight="1" thickBot="1" x14ac:dyDescent="0.35">
      <c r="A6" s="27"/>
      <c r="B6" s="138" t="str">
        <f>"Monto total del Premio Fairtrade recibido en el periodo de los "&amp;D5&amp;" meses (en "&amp;T9&amp;"/perido de "&amp;D5&amp;" meses) :"</f>
        <v>Monto total del Premio Fairtrade recibido en el periodo de los  meses (en pesos/perido de  meses) :</v>
      </c>
      <c r="C6" s="139"/>
      <c r="D6" s="20"/>
      <c r="E6" s="113" t="s">
        <v>27</v>
      </c>
      <c r="F6" s="138" t="str">
        <f>"Salario Digno de Referencia básico 2025 (en "&amp;T9&amp;"/mes) :"</f>
        <v>Salario Digno de Referencia básico 2025 (en pesos/mes) :</v>
      </c>
      <c r="G6" s="139"/>
      <c r="H6" s="99">
        <f>P18</f>
        <v>23221</v>
      </c>
      <c r="I6" s="30"/>
      <c r="J6" s="119"/>
      <c r="K6" s="29"/>
      <c r="M6" s="49"/>
      <c r="O6" s="50"/>
    </row>
    <row r="7" spans="1:27" ht="16.2" customHeight="1" thickBot="1" x14ac:dyDescent="0.35">
      <c r="A7" s="27"/>
      <c r="B7" s="144" t="str">
        <f>"Tipo de cambio (en "&amp;T9&amp;"/US dólar) :"</f>
        <v>Tipo de cambio (en pesos/US dólar) :</v>
      </c>
      <c r="C7" s="145"/>
      <c r="D7" s="19"/>
      <c r="E7" s="31"/>
      <c r="F7" s="114" t="s">
        <v>159</v>
      </c>
      <c r="G7" s="17"/>
      <c r="H7" s="17"/>
      <c r="I7" s="30"/>
      <c r="J7" s="119"/>
      <c r="K7" s="29"/>
      <c r="M7" s="49"/>
    </row>
    <row r="8" spans="1:27" ht="10.199999999999999" customHeight="1" thickBot="1" x14ac:dyDescent="0.35">
      <c r="A8" s="27"/>
      <c r="B8" s="32"/>
      <c r="C8" s="17"/>
      <c r="D8" s="17"/>
      <c r="E8" s="17"/>
      <c r="F8" s="17"/>
      <c r="G8" s="17"/>
      <c r="H8" s="17"/>
      <c r="I8" s="17"/>
      <c r="J8" s="119"/>
      <c r="K8" s="29"/>
      <c r="M8" s="51"/>
    </row>
    <row r="9" spans="1:27" ht="55.8" thickBot="1" x14ac:dyDescent="0.35">
      <c r="A9" s="27"/>
      <c r="B9" s="94" t="s">
        <v>43</v>
      </c>
      <c r="C9" s="94" t="s">
        <v>13</v>
      </c>
      <c r="D9" s="94" t="s">
        <v>12</v>
      </c>
      <c r="E9" s="95" t="str">
        <f>"# meses laborados en el periodo de "&amp;D5&amp;" meses"</f>
        <v># meses laborados en el periodo de  meses</v>
      </c>
      <c r="F9" s="96" t="s">
        <v>47</v>
      </c>
      <c r="G9" s="97" t="str">
        <f>"Brecha Salarial/ período de "&amp;D5&amp;" meses"</f>
        <v>Brecha Salarial/ período de  meses</v>
      </c>
      <c r="H9" s="98" t="str">
        <f>"Premio Fairtrade a distribuir, in "&amp;T9&amp;"/mes/trabajador"</f>
        <v>Premio Fairtrade a distribuir, in pesos/mes/trabajador</v>
      </c>
      <c r="I9" s="33"/>
      <c r="J9" s="119"/>
      <c r="K9" s="34"/>
      <c r="M9" s="47" t="s">
        <v>7</v>
      </c>
      <c r="N9" s="21" t="s">
        <v>3</v>
      </c>
      <c r="O9" s="42" t="s">
        <v>31</v>
      </c>
      <c r="P9" s="42" t="s">
        <v>32</v>
      </c>
      <c r="Q9" s="42"/>
      <c r="R9" s="46"/>
      <c r="S9" s="43" t="s">
        <v>20</v>
      </c>
      <c r="T9" s="46" t="s">
        <v>25</v>
      </c>
      <c r="V9" s="21" t="s">
        <v>17</v>
      </c>
      <c r="W9" s="21"/>
      <c r="X9" s="21" t="s">
        <v>2</v>
      </c>
      <c r="Y9" s="4"/>
      <c r="Z9" s="21" t="s">
        <v>33</v>
      </c>
      <c r="AA9" s="21" t="s">
        <v>34</v>
      </c>
    </row>
    <row r="10" spans="1:27" ht="16.5" customHeight="1" thickBot="1" x14ac:dyDescent="0.35">
      <c r="A10" s="27"/>
      <c r="B10" s="13" t="s">
        <v>116</v>
      </c>
      <c r="C10" s="1"/>
      <c r="D10" s="6"/>
      <c r="E10" s="5"/>
      <c r="F10" s="105">
        <f t="shared" ref="F10:F40" si="0">C10*D10/daysperweek</f>
        <v>0</v>
      </c>
      <c r="G10" s="106">
        <f t="shared" ref="G10:G40" si="1">IF(LWgap&gt;maxFP30,maxFP30*W10,V10)</f>
        <v>0</v>
      </c>
      <c r="H10" s="107">
        <f>IFERROR(G10/C10,0)</f>
        <v>0</v>
      </c>
      <c r="I10" s="35"/>
      <c r="J10" s="120"/>
      <c r="K10" s="29"/>
      <c r="L10" s="8"/>
      <c r="M10" s="52" t="str">
        <f>"Entre  "&amp;O10&amp;"  y  "&amp;P10&amp;"  "&amp;S9</f>
        <v>Entre  16254  y  17099  pesos/mes</v>
      </c>
      <c r="N10" s="53">
        <f t="shared" ref="N10:N18" si="2">AVERAGE(O10:P10)</f>
        <v>16676.5</v>
      </c>
      <c r="O10" s="54">
        <v>16254</v>
      </c>
      <c r="P10" s="55">
        <f>ROUND(O10+O19,P19)-1</f>
        <v>17099</v>
      </c>
      <c r="Q10" s="42"/>
      <c r="R10" s="56">
        <f>P10-O10</f>
        <v>845</v>
      </c>
      <c r="S10" s="46"/>
      <c r="T10" s="46"/>
      <c r="V10" s="15">
        <f>IFERROR((basicLWB-VLOOKUP(B10,$M$10:$N$18,2,FALSE))*E10*F10,0)</f>
        <v>0</v>
      </c>
      <c r="W10" s="12" t="e">
        <f>V10/LWgap</f>
        <v>#DIV/0!</v>
      </c>
      <c r="X10" s="11">
        <v>1</v>
      </c>
      <c r="Y10" s="4" t="b">
        <f t="shared" ref="Y10:Y21" si="3">IF(X10&lt;=$D$5,X10,0)&lt;&gt;0</f>
        <v>0</v>
      </c>
      <c r="Z10" s="4" cm="1">
        <f t="array" ref="Z10">IFERROR(_xlfn.XLOOKUP(TRUE,Y10:$Y$21,X10:$X$21),0)</f>
        <v>0</v>
      </c>
      <c r="AA10" s="10">
        <v>6</v>
      </c>
    </row>
    <row r="11" spans="1:27" ht="16.5" customHeight="1" x14ac:dyDescent="0.3">
      <c r="A11" s="27"/>
      <c r="B11" s="13" t="s">
        <v>117</v>
      </c>
      <c r="C11" s="2"/>
      <c r="D11" s="7"/>
      <c r="E11" s="5"/>
      <c r="F11" s="105">
        <f t="shared" si="0"/>
        <v>0</v>
      </c>
      <c r="G11" s="106">
        <f t="shared" si="1"/>
        <v>0</v>
      </c>
      <c r="H11" s="107">
        <f t="shared" ref="H11:H40" si="4">IFERROR(G11/C11,0)</f>
        <v>0</v>
      </c>
      <c r="I11" s="35"/>
      <c r="J11" s="44"/>
      <c r="K11" s="29"/>
      <c r="L11" s="8"/>
      <c r="M11" s="52" t="str">
        <f>"Entre  "&amp;O11&amp;"  y  "&amp;P11&amp;"  "&amp;S9</f>
        <v>Entre  17100  y  17899  pesos/mes</v>
      </c>
      <c r="N11" s="53">
        <f t="shared" si="2"/>
        <v>17499.5</v>
      </c>
      <c r="O11" s="55">
        <f t="shared" ref="O11:O18" si="5">P10+1</f>
        <v>17100</v>
      </c>
      <c r="P11" s="55">
        <f>ROUND(P10+O19,P19)-1</f>
        <v>17899</v>
      </c>
      <c r="Q11" s="42"/>
      <c r="R11" s="56">
        <f t="shared" ref="R11:R18" si="6">P11-P10</f>
        <v>800</v>
      </c>
      <c r="S11" s="46"/>
      <c r="T11" s="46"/>
      <c r="V11" s="15">
        <f>IFERROR((basicLWB-VLOOKUP(B11,$M$10:$N$18,2,FALSE))*E11*F11,0)</f>
        <v>0</v>
      </c>
      <c r="W11" s="12" t="e">
        <f t="shared" ref="W11:W33" si="7">+V11/LWgap</f>
        <v>#DIV/0!</v>
      </c>
      <c r="X11" s="11">
        <v>2</v>
      </c>
      <c r="Y11" s="4" t="b">
        <f t="shared" si="3"/>
        <v>0</v>
      </c>
      <c r="Z11" s="4" cm="1">
        <f t="array" ref="Z11">IFERROR(_xlfn.XLOOKUP(TRUE,Y11:$Y$21,X11:$X$21),0)</f>
        <v>0</v>
      </c>
      <c r="AA11" s="10">
        <v>5.5</v>
      </c>
    </row>
    <row r="12" spans="1:27" ht="16.5" customHeight="1" x14ac:dyDescent="0.3">
      <c r="A12" s="27"/>
      <c r="B12" s="13" t="s">
        <v>118</v>
      </c>
      <c r="C12" s="2"/>
      <c r="D12" s="7"/>
      <c r="E12" s="5"/>
      <c r="F12" s="105">
        <f t="shared" si="0"/>
        <v>0</v>
      </c>
      <c r="G12" s="106">
        <f t="shared" si="1"/>
        <v>0</v>
      </c>
      <c r="H12" s="107">
        <f t="shared" si="4"/>
        <v>0</v>
      </c>
      <c r="I12" s="35"/>
      <c r="J12" s="36"/>
      <c r="K12" s="29"/>
      <c r="L12" s="8"/>
      <c r="M12" s="52" t="str">
        <f>"Entre  "&amp;O12&amp;"  y  "&amp;P12&amp;"  "&amp;S9</f>
        <v>Entre  17900  y  18699  pesos/mes</v>
      </c>
      <c r="N12" s="53">
        <f t="shared" si="2"/>
        <v>18299.5</v>
      </c>
      <c r="O12" s="55">
        <f t="shared" si="5"/>
        <v>17900</v>
      </c>
      <c r="P12" s="55">
        <f>ROUND(P11+O19,P19)-1</f>
        <v>18699</v>
      </c>
      <c r="Q12" s="42"/>
      <c r="R12" s="56">
        <f t="shared" si="6"/>
        <v>800</v>
      </c>
      <c r="S12" s="46"/>
      <c r="T12" s="46"/>
      <c r="V12" s="15">
        <f>IFERROR((basicLWB-VLOOKUP(B12,$M$10:$N$18,2,FALSE))*E12*F12,0)</f>
        <v>0</v>
      </c>
      <c r="W12" s="12" t="e">
        <f t="shared" si="7"/>
        <v>#DIV/0!</v>
      </c>
      <c r="X12" s="11">
        <v>3</v>
      </c>
      <c r="Y12" s="4" t="b">
        <f t="shared" si="3"/>
        <v>0</v>
      </c>
      <c r="Z12" s="4" cm="1">
        <f t="array" ref="Z12">IFERROR(_xlfn.XLOOKUP(TRUE,Y12:$Y$21,X12:$X$21),0)</f>
        <v>0</v>
      </c>
      <c r="AA12" s="10">
        <v>5</v>
      </c>
    </row>
    <row r="13" spans="1:27" ht="16.5" customHeight="1" x14ac:dyDescent="0.3">
      <c r="A13" s="27"/>
      <c r="B13" s="13" t="s">
        <v>119</v>
      </c>
      <c r="C13" s="2"/>
      <c r="D13" s="7"/>
      <c r="E13" s="5"/>
      <c r="F13" s="105">
        <f t="shared" si="0"/>
        <v>0</v>
      </c>
      <c r="G13" s="106">
        <f t="shared" si="1"/>
        <v>0</v>
      </c>
      <c r="H13" s="107">
        <f t="shared" si="4"/>
        <v>0</v>
      </c>
      <c r="I13" s="35"/>
      <c r="J13" s="36"/>
      <c r="K13" s="29"/>
      <c r="L13" s="8"/>
      <c r="M13" s="52" t="str">
        <f>"Entre  "&amp;O13&amp;"  y  "&amp;P13&amp;"  "&amp;S9</f>
        <v>Entre  18700  y  19499  pesos/mes</v>
      </c>
      <c r="N13" s="53">
        <f t="shared" si="2"/>
        <v>19099.5</v>
      </c>
      <c r="O13" s="55">
        <f t="shared" si="5"/>
        <v>18700</v>
      </c>
      <c r="P13" s="55">
        <f>ROUND(P12+O19,P19)-1</f>
        <v>19499</v>
      </c>
      <c r="Q13" s="42"/>
      <c r="R13" s="56">
        <f t="shared" si="6"/>
        <v>800</v>
      </c>
      <c r="S13" s="46"/>
      <c r="T13" s="46"/>
      <c r="V13" s="15">
        <f>IFERROR((basicLWB-VLOOKUP(B13,$M$10:$N$18,2,FALSE))*E13*F13,0)</f>
        <v>0</v>
      </c>
      <c r="W13" s="12" t="e">
        <f t="shared" si="7"/>
        <v>#DIV/0!</v>
      </c>
      <c r="X13" s="11">
        <v>4</v>
      </c>
      <c r="Y13" s="4" t="b">
        <f t="shared" si="3"/>
        <v>0</v>
      </c>
      <c r="Z13" s="4" cm="1">
        <f t="array" ref="Z13">IFERROR(_xlfn.XLOOKUP(TRUE,Y13:$Y$21,X13:$X$21),0)</f>
        <v>0</v>
      </c>
      <c r="AA13" s="10">
        <v>4.5</v>
      </c>
    </row>
    <row r="14" spans="1:27" ht="16.5" customHeight="1" x14ac:dyDescent="0.3">
      <c r="A14" s="27"/>
      <c r="B14" s="13" t="s">
        <v>120</v>
      </c>
      <c r="C14" s="2"/>
      <c r="D14" s="7"/>
      <c r="E14" s="5"/>
      <c r="F14" s="105">
        <f t="shared" si="0"/>
        <v>0</v>
      </c>
      <c r="G14" s="106">
        <f t="shared" si="1"/>
        <v>0</v>
      </c>
      <c r="H14" s="107">
        <f t="shared" si="4"/>
        <v>0</v>
      </c>
      <c r="I14" s="35"/>
      <c r="J14" s="36"/>
      <c r="K14" s="29"/>
      <c r="L14" s="8"/>
      <c r="M14" s="52" t="str">
        <f>"Entre  "&amp;O14&amp;"  y  "&amp;P14&amp;"  "&amp;S9</f>
        <v>Entre  19500  y  20299  pesos/mes</v>
      </c>
      <c r="N14" s="53">
        <f t="shared" si="2"/>
        <v>19899.5</v>
      </c>
      <c r="O14" s="55">
        <f t="shared" si="5"/>
        <v>19500</v>
      </c>
      <c r="P14" s="55">
        <f>ROUND(P13+O19,P19)-1</f>
        <v>20299</v>
      </c>
      <c r="Q14" s="42"/>
      <c r="R14" s="56">
        <f t="shared" si="6"/>
        <v>800</v>
      </c>
      <c r="S14" s="46"/>
      <c r="T14" s="46"/>
      <c r="V14" s="15">
        <f>IFERROR((basicLWB-VLOOKUP(B14,$M$10:$N$18,2,FALSE))*E14*F14,0)</f>
        <v>0</v>
      </c>
      <c r="W14" s="12" t="e">
        <f t="shared" si="7"/>
        <v>#DIV/0!</v>
      </c>
      <c r="X14" s="11">
        <v>5</v>
      </c>
      <c r="Y14" s="4" t="b">
        <f t="shared" si="3"/>
        <v>0</v>
      </c>
      <c r="Z14" s="4" cm="1">
        <f t="array" ref="Z14">IFERROR(_xlfn.XLOOKUP(TRUE,Y14:$Y$21,X14:$X$21),0)</f>
        <v>0</v>
      </c>
      <c r="AA14" s="10">
        <v>4</v>
      </c>
    </row>
    <row r="15" spans="1:27" ht="16.5" customHeight="1" x14ac:dyDescent="0.3">
      <c r="A15" s="27"/>
      <c r="B15" s="13" t="s">
        <v>121</v>
      </c>
      <c r="C15" s="2"/>
      <c r="D15" s="7"/>
      <c r="E15" s="5"/>
      <c r="F15" s="105">
        <f t="shared" si="0"/>
        <v>0</v>
      </c>
      <c r="G15" s="106">
        <f t="shared" si="1"/>
        <v>0</v>
      </c>
      <c r="H15" s="107">
        <f t="shared" si="4"/>
        <v>0</v>
      </c>
      <c r="I15" s="35"/>
      <c r="J15" s="36"/>
      <c r="K15" s="29"/>
      <c r="L15" s="8"/>
      <c r="M15" s="52" t="str">
        <f>"Entre  "&amp;O15&amp;"  y  "&amp;P15&amp;"  "&amp;S9</f>
        <v>Entre  20300  y  21099  pesos/mes</v>
      </c>
      <c r="N15" s="53">
        <f t="shared" si="2"/>
        <v>20699.5</v>
      </c>
      <c r="O15" s="55">
        <f t="shared" si="5"/>
        <v>20300</v>
      </c>
      <c r="P15" s="55">
        <f>ROUND(P14+O19,P19)-1</f>
        <v>21099</v>
      </c>
      <c r="Q15" s="42"/>
      <c r="R15" s="56">
        <f t="shared" si="6"/>
        <v>800</v>
      </c>
      <c r="S15" s="46"/>
      <c r="T15" s="46"/>
      <c r="V15" s="15">
        <f>IFERROR((basicLWB-VLOOKUP(B15,$M$10:$N$18,2,FALSE))*E15*F15,0)</f>
        <v>0</v>
      </c>
      <c r="W15" s="12" t="e">
        <f t="shared" si="7"/>
        <v>#DIV/0!</v>
      </c>
      <c r="X15" s="11">
        <v>6</v>
      </c>
      <c r="Y15" s="4" t="b">
        <f t="shared" si="3"/>
        <v>0</v>
      </c>
      <c r="Z15" s="4" cm="1">
        <f t="array" ref="Z15">IFERROR(_xlfn.XLOOKUP(TRUE,Y15:$Y$21,X15:$X$21),0)</f>
        <v>0</v>
      </c>
      <c r="AA15" s="10">
        <v>3.5</v>
      </c>
    </row>
    <row r="16" spans="1:27" ht="16.5" customHeight="1" x14ac:dyDescent="0.3">
      <c r="A16" s="27"/>
      <c r="B16" s="13" t="s">
        <v>122</v>
      </c>
      <c r="C16" s="2"/>
      <c r="D16" s="7"/>
      <c r="E16" s="5"/>
      <c r="F16" s="105">
        <f t="shared" si="0"/>
        <v>0</v>
      </c>
      <c r="G16" s="106">
        <f t="shared" si="1"/>
        <v>0</v>
      </c>
      <c r="H16" s="107">
        <f t="shared" si="4"/>
        <v>0</v>
      </c>
      <c r="I16" s="35"/>
      <c r="J16" s="36"/>
      <c r="K16" s="29"/>
      <c r="L16" s="8"/>
      <c r="M16" s="52" t="str">
        <f>"Entre  "&amp;O16&amp;"  y  "&amp;P16&amp;"  "&amp;S9</f>
        <v>Entre  21100  y  21899  pesos/mes</v>
      </c>
      <c r="N16" s="53">
        <f t="shared" si="2"/>
        <v>21499.5</v>
      </c>
      <c r="O16" s="55">
        <f t="shared" si="5"/>
        <v>21100</v>
      </c>
      <c r="P16" s="55">
        <f>ROUND(P15+O19,P19)-1</f>
        <v>21899</v>
      </c>
      <c r="Q16" s="42"/>
      <c r="R16" s="56">
        <f t="shared" si="6"/>
        <v>800</v>
      </c>
      <c r="S16" s="46"/>
      <c r="T16" s="46"/>
      <c r="V16" s="15">
        <f>IFERROR((basicLWB-VLOOKUP(B16,$M$10:$N$18,2,FALSE))*E16*F16,0)</f>
        <v>0</v>
      </c>
      <c r="W16" s="12" t="e">
        <f t="shared" si="7"/>
        <v>#DIV/0!</v>
      </c>
      <c r="X16" s="11">
        <v>7</v>
      </c>
      <c r="Y16" s="4" t="b">
        <f t="shared" si="3"/>
        <v>0</v>
      </c>
      <c r="Z16" s="4" cm="1">
        <f t="array" ref="Z16">IFERROR(_xlfn.XLOOKUP(TRUE,Y16:$Y$21,X16:$X$21),0)</f>
        <v>0</v>
      </c>
      <c r="AA16" s="10">
        <v>3</v>
      </c>
    </row>
    <row r="17" spans="1:27" ht="16.5" customHeight="1" x14ac:dyDescent="0.3">
      <c r="A17" s="27"/>
      <c r="B17" s="13" t="s">
        <v>123</v>
      </c>
      <c r="C17" s="2"/>
      <c r="D17" s="7"/>
      <c r="E17" s="5"/>
      <c r="F17" s="105">
        <f t="shared" si="0"/>
        <v>0</v>
      </c>
      <c r="G17" s="106">
        <f t="shared" si="1"/>
        <v>0</v>
      </c>
      <c r="H17" s="107">
        <f t="shared" si="4"/>
        <v>0</v>
      </c>
      <c r="I17" s="35"/>
      <c r="J17" s="36"/>
      <c r="K17" s="29"/>
      <c r="L17" s="8"/>
      <c r="M17" s="52" t="str">
        <f>"Entre  "&amp;O17&amp;"  y  "&amp;P17&amp;"  "&amp;S9</f>
        <v>Entre  21900  y  22699  pesos/mes</v>
      </c>
      <c r="N17" s="53">
        <f t="shared" si="2"/>
        <v>22299.5</v>
      </c>
      <c r="O17" s="55">
        <f t="shared" si="5"/>
        <v>21900</v>
      </c>
      <c r="P17" s="55">
        <f>ROUND(P16+O19,P19)-1</f>
        <v>22699</v>
      </c>
      <c r="Q17" s="42"/>
      <c r="R17" s="56">
        <f t="shared" si="6"/>
        <v>800</v>
      </c>
      <c r="S17" s="46"/>
      <c r="T17" s="46"/>
      <c r="V17" s="15">
        <f>IFERROR((basicLWB-VLOOKUP(B17,$M$10:$N$18,2,FALSE))*E17*F17,0)</f>
        <v>0</v>
      </c>
      <c r="W17" s="12" t="e">
        <f t="shared" si="7"/>
        <v>#DIV/0!</v>
      </c>
      <c r="X17" s="11">
        <v>8</v>
      </c>
      <c r="Y17" s="4" t="b">
        <f t="shared" si="3"/>
        <v>0</v>
      </c>
      <c r="Z17" s="4" cm="1">
        <f t="array" ref="Z17">IFERROR(_xlfn.XLOOKUP(TRUE,Y17:$Y$21,X17:$X$21),0)</f>
        <v>0</v>
      </c>
      <c r="AA17" s="10">
        <v>3.5</v>
      </c>
    </row>
    <row r="18" spans="1:27" ht="16.5" customHeight="1" x14ac:dyDescent="0.3">
      <c r="A18" s="27"/>
      <c r="B18" s="13" t="s">
        <v>124</v>
      </c>
      <c r="C18" s="2"/>
      <c r="D18" s="7"/>
      <c r="E18" s="5"/>
      <c r="F18" s="105">
        <f t="shared" si="0"/>
        <v>0</v>
      </c>
      <c r="G18" s="106">
        <f t="shared" si="1"/>
        <v>0</v>
      </c>
      <c r="H18" s="107">
        <f t="shared" si="4"/>
        <v>0</v>
      </c>
      <c r="I18" s="35"/>
      <c r="J18" s="36"/>
      <c r="K18" s="29"/>
      <c r="L18" s="8"/>
      <c r="M18" s="52" t="str">
        <f>"Entre  "&amp;O18&amp;"  y  "&amp;P18&amp;"  "&amp;S9</f>
        <v>Entre  22700  y  23221  pesos/mes</v>
      </c>
      <c r="N18" s="53">
        <f t="shared" si="2"/>
        <v>22960.5</v>
      </c>
      <c r="O18" s="55">
        <f t="shared" si="5"/>
        <v>22700</v>
      </c>
      <c r="P18" s="54">
        <v>23221</v>
      </c>
      <c r="Q18" s="42"/>
      <c r="R18" s="56">
        <f t="shared" si="6"/>
        <v>522</v>
      </c>
      <c r="S18" s="46"/>
      <c r="T18" s="46"/>
      <c r="V18" s="15">
        <f>IFERROR((basicLWB-VLOOKUP(B18,$M$10:$N$18,2,FALSE))*E18*F18,0)</f>
        <v>0</v>
      </c>
      <c r="W18" s="12" t="e">
        <f t="shared" si="7"/>
        <v>#DIV/0!</v>
      </c>
      <c r="X18" s="11">
        <v>9</v>
      </c>
      <c r="Y18" s="4" t="b">
        <f t="shared" si="3"/>
        <v>0</v>
      </c>
      <c r="Z18" s="4" cm="1">
        <f t="array" ref="Z18">IFERROR(_xlfn.XLOOKUP(TRUE,Y18:$Y$21,X18:$X$21),0)</f>
        <v>0</v>
      </c>
      <c r="AA18" s="10">
        <v>3</v>
      </c>
    </row>
    <row r="19" spans="1:27" ht="16.5" customHeight="1" x14ac:dyDescent="0.3">
      <c r="A19" s="27"/>
      <c r="B19" s="13"/>
      <c r="C19" s="2"/>
      <c r="D19" s="7"/>
      <c r="E19" s="5"/>
      <c r="F19" s="105">
        <f t="shared" si="0"/>
        <v>0</v>
      </c>
      <c r="G19" s="106">
        <f t="shared" si="1"/>
        <v>0</v>
      </c>
      <c r="H19" s="107">
        <f t="shared" si="4"/>
        <v>0</v>
      </c>
      <c r="I19" s="35"/>
      <c r="J19" s="36"/>
      <c r="K19" s="29"/>
      <c r="L19" s="8"/>
      <c r="M19" s="52"/>
      <c r="N19" s="21">
        <v>6</v>
      </c>
      <c r="O19" s="57">
        <f>ROUND((P18-O10)/9,P19)</f>
        <v>800</v>
      </c>
      <c r="P19" s="58">
        <v>-2</v>
      </c>
      <c r="Q19" s="42"/>
      <c r="R19" s="46"/>
      <c r="S19" s="46"/>
      <c r="T19" s="46"/>
      <c r="V19" s="15">
        <f>IFERROR((basicLWB-VLOOKUP(B19,$M$10:$N$18,2,FALSE))*E19*F19,0)</f>
        <v>0</v>
      </c>
      <c r="W19" s="12" t="e">
        <f t="shared" si="7"/>
        <v>#DIV/0!</v>
      </c>
      <c r="X19" s="11">
        <v>10</v>
      </c>
      <c r="Y19" s="4" t="b">
        <f t="shared" si="3"/>
        <v>0</v>
      </c>
      <c r="Z19" s="4" cm="1">
        <f t="array" ref="Z19">IFERROR(_xlfn.XLOOKUP(TRUE,Y19:$Y$21,X19:$X$21),0)</f>
        <v>0</v>
      </c>
      <c r="AA19" s="10">
        <v>2.5</v>
      </c>
    </row>
    <row r="20" spans="1:27" ht="16.5" customHeight="1" x14ac:dyDescent="0.3">
      <c r="A20" s="27"/>
      <c r="B20" s="13"/>
      <c r="C20" s="2"/>
      <c r="D20" s="7"/>
      <c r="E20" s="5"/>
      <c r="F20" s="105">
        <f t="shared" si="0"/>
        <v>0</v>
      </c>
      <c r="G20" s="106">
        <f t="shared" si="1"/>
        <v>0</v>
      </c>
      <c r="H20" s="107">
        <f t="shared" si="4"/>
        <v>0</v>
      </c>
      <c r="I20" s="35"/>
      <c r="J20" s="36"/>
      <c r="K20" s="29"/>
      <c r="N20" s="50"/>
      <c r="O20" s="18"/>
      <c r="P20" s="18"/>
      <c r="Q20" s="18"/>
      <c r="R20"/>
      <c r="S20"/>
      <c r="T20"/>
      <c r="V20" s="15">
        <f>IFERROR((basicLWB-VLOOKUP(B20,$M$10:$N$18,2,FALSE))*E20*F20,0)</f>
        <v>0</v>
      </c>
      <c r="W20" s="12" t="e">
        <f t="shared" si="7"/>
        <v>#DIV/0!</v>
      </c>
      <c r="X20" s="11">
        <v>11</v>
      </c>
      <c r="Y20" s="4" t="b">
        <f t="shared" si="3"/>
        <v>0</v>
      </c>
      <c r="Z20" s="4" cm="1">
        <f t="array" ref="Z20">IFERROR(_xlfn.XLOOKUP(TRUE,Y20:$Y$21,X20:$X$21),0)</f>
        <v>0</v>
      </c>
      <c r="AA20" s="10">
        <v>2</v>
      </c>
    </row>
    <row r="21" spans="1:27" ht="16.5" customHeight="1" x14ac:dyDescent="0.3">
      <c r="A21" s="27"/>
      <c r="B21" s="13"/>
      <c r="C21" s="3"/>
      <c r="D21" s="7"/>
      <c r="E21" s="5"/>
      <c r="F21" s="105">
        <f t="shared" si="0"/>
        <v>0</v>
      </c>
      <c r="G21" s="106">
        <f t="shared" si="1"/>
        <v>0</v>
      </c>
      <c r="H21" s="107">
        <f t="shared" si="4"/>
        <v>0</v>
      </c>
      <c r="I21" s="35"/>
      <c r="J21" s="36"/>
      <c r="K21" s="29"/>
      <c r="N21" s="50"/>
      <c r="O21" s="18"/>
      <c r="P21" s="18"/>
      <c r="Q21" s="18"/>
      <c r="R21"/>
      <c r="S21"/>
      <c r="T21"/>
      <c r="V21" s="15">
        <f>IFERROR((basicLWB-VLOOKUP(B21,$M$10:$N$18,2,FALSE))*E21*F21,0)</f>
        <v>0</v>
      </c>
      <c r="W21" s="12" t="e">
        <f t="shared" si="7"/>
        <v>#DIV/0!</v>
      </c>
      <c r="X21" s="11">
        <v>12</v>
      </c>
      <c r="Y21" s="4" t="b">
        <f t="shared" si="3"/>
        <v>0</v>
      </c>
      <c r="Z21" s="4" cm="1">
        <f t="array" ref="Z21">IFERROR(_xlfn.XLOOKUP(TRUE,Y21:$Y$21,X21:$X$21),0)</f>
        <v>0</v>
      </c>
      <c r="AA21" s="10">
        <v>1.5</v>
      </c>
    </row>
    <row r="22" spans="1:27" ht="16.5" customHeight="1" x14ac:dyDescent="0.3">
      <c r="A22" s="27"/>
      <c r="B22" s="13"/>
      <c r="C22" s="3"/>
      <c r="D22" s="7"/>
      <c r="E22" s="5"/>
      <c r="F22" s="105">
        <f t="shared" si="0"/>
        <v>0</v>
      </c>
      <c r="G22" s="106">
        <f t="shared" si="1"/>
        <v>0</v>
      </c>
      <c r="H22" s="107">
        <f t="shared" si="4"/>
        <v>0</v>
      </c>
      <c r="I22" s="35"/>
      <c r="J22" s="36"/>
      <c r="K22" s="29"/>
      <c r="N22" s="50"/>
      <c r="O22" s="18"/>
      <c r="P22" s="18"/>
      <c r="Q22" s="18"/>
      <c r="R22"/>
      <c r="S22"/>
      <c r="T22"/>
      <c r="V22" s="15">
        <f>IFERROR((basicLWB-VLOOKUP(B22,$M$10:$N$18,2,FALSE))*E22*F22,0)</f>
        <v>0</v>
      </c>
      <c r="W22" s="12" t="e">
        <f t="shared" si="7"/>
        <v>#DIV/0!</v>
      </c>
      <c r="X22" s="11"/>
      <c r="Y22" s="4"/>
      <c r="Z22" s="4"/>
      <c r="AA22" s="11">
        <v>1</v>
      </c>
    </row>
    <row r="23" spans="1:27" ht="16.5" customHeight="1" x14ac:dyDescent="0.3">
      <c r="A23" s="27"/>
      <c r="B23" s="13"/>
      <c r="C23" s="3"/>
      <c r="D23" s="7"/>
      <c r="E23" s="5"/>
      <c r="F23" s="105">
        <f t="shared" si="0"/>
        <v>0</v>
      </c>
      <c r="G23" s="106">
        <f t="shared" si="1"/>
        <v>0</v>
      </c>
      <c r="H23" s="107">
        <f t="shared" si="4"/>
        <v>0</v>
      </c>
      <c r="I23" s="35"/>
      <c r="J23" s="36"/>
      <c r="K23" s="29"/>
      <c r="N23" s="50"/>
      <c r="O23" s="18"/>
      <c r="P23" s="18"/>
      <c r="Q23" s="18"/>
      <c r="R23"/>
      <c r="S23"/>
      <c r="T23"/>
      <c r="V23" s="15">
        <f>IFERROR((basicLWB-VLOOKUP(B23,$M$10:$N$18,2,FALSE))*E23*F23,0)</f>
        <v>0</v>
      </c>
      <c r="W23" s="12" t="e">
        <f t="shared" si="7"/>
        <v>#DIV/0!</v>
      </c>
      <c r="X23" s="11"/>
      <c r="Y23" s="4"/>
      <c r="Z23" s="4"/>
      <c r="AA23" s="4"/>
    </row>
    <row r="24" spans="1:27" ht="16.5" customHeight="1" x14ac:dyDescent="0.3">
      <c r="A24" s="27"/>
      <c r="B24" s="13"/>
      <c r="C24" s="3"/>
      <c r="D24" s="7"/>
      <c r="E24" s="5"/>
      <c r="F24" s="105">
        <f t="shared" si="0"/>
        <v>0</v>
      </c>
      <c r="G24" s="106">
        <f t="shared" si="1"/>
        <v>0</v>
      </c>
      <c r="H24" s="107">
        <f t="shared" si="4"/>
        <v>0</v>
      </c>
      <c r="I24" s="35"/>
      <c r="J24" s="36"/>
      <c r="K24" s="29"/>
      <c r="N24" s="50"/>
      <c r="O24" s="18"/>
      <c r="P24" s="18"/>
      <c r="Q24" s="18"/>
      <c r="R24"/>
      <c r="S24"/>
      <c r="T24"/>
      <c r="V24" s="15">
        <f>IFERROR((basicLWB-VLOOKUP(B24,$M$10:$N$18,2,FALSE))*E24*F24,0)</f>
        <v>0</v>
      </c>
      <c r="W24" s="12" t="e">
        <f t="shared" si="7"/>
        <v>#DIV/0!</v>
      </c>
      <c r="X24" s="11"/>
      <c r="Y24" s="4"/>
      <c r="Z24" s="4"/>
      <c r="AA24" s="4"/>
    </row>
    <row r="25" spans="1:27" ht="16.5" customHeight="1" x14ac:dyDescent="0.3">
      <c r="A25" s="27"/>
      <c r="B25" s="13"/>
      <c r="C25" s="3"/>
      <c r="D25" s="7"/>
      <c r="E25" s="5"/>
      <c r="F25" s="105">
        <f t="shared" si="0"/>
        <v>0</v>
      </c>
      <c r="G25" s="106">
        <f t="shared" si="1"/>
        <v>0</v>
      </c>
      <c r="H25" s="107">
        <f t="shared" si="4"/>
        <v>0</v>
      </c>
      <c r="I25" s="35"/>
      <c r="J25" s="36"/>
      <c r="K25" s="29"/>
      <c r="N25" s="50"/>
      <c r="O25" s="18"/>
      <c r="P25" s="18"/>
      <c r="Q25" s="18"/>
      <c r="R25"/>
      <c r="S25"/>
      <c r="T25"/>
      <c r="V25" s="15">
        <f>IFERROR((basicLWB-VLOOKUP(B25,$M$10:$N$18,2,FALSE))*E25*F25,0)</f>
        <v>0</v>
      </c>
      <c r="W25" s="12" t="e">
        <f t="shared" si="7"/>
        <v>#DIV/0!</v>
      </c>
      <c r="X25" s="11"/>
      <c r="Y25" s="4"/>
      <c r="Z25" s="4"/>
      <c r="AA25" s="4"/>
    </row>
    <row r="26" spans="1:27" ht="16.5" customHeight="1" x14ac:dyDescent="0.3">
      <c r="A26" s="27"/>
      <c r="B26" s="13"/>
      <c r="C26" s="3"/>
      <c r="D26" s="7"/>
      <c r="E26" s="5"/>
      <c r="F26" s="105">
        <f t="shared" si="0"/>
        <v>0</v>
      </c>
      <c r="G26" s="106">
        <f t="shared" si="1"/>
        <v>0</v>
      </c>
      <c r="H26" s="107">
        <f t="shared" si="4"/>
        <v>0</v>
      </c>
      <c r="I26" s="35"/>
      <c r="J26" s="36"/>
      <c r="K26" s="29"/>
      <c r="N26" s="50"/>
      <c r="O26" s="18"/>
      <c r="P26" s="18"/>
      <c r="Q26" s="18"/>
      <c r="R26"/>
      <c r="S26"/>
      <c r="T26"/>
      <c r="V26" s="15">
        <f>IFERROR((basicLWB-VLOOKUP(B26,$M$10:$N$18,2,FALSE))*E26*F26,0)</f>
        <v>0</v>
      </c>
      <c r="W26" s="12" t="e">
        <f t="shared" si="7"/>
        <v>#DIV/0!</v>
      </c>
      <c r="X26" s="11"/>
      <c r="Y26" s="4"/>
      <c r="Z26" s="4"/>
      <c r="AA26" s="4"/>
    </row>
    <row r="27" spans="1:27" ht="16.5" customHeight="1" x14ac:dyDescent="0.3">
      <c r="A27" s="27"/>
      <c r="B27" s="13"/>
      <c r="C27" s="3"/>
      <c r="D27" s="7"/>
      <c r="E27" s="5"/>
      <c r="F27" s="105">
        <f t="shared" si="0"/>
        <v>0</v>
      </c>
      <c r="G27" s="106">
        <f t="shared" si="1"/>
        <v>0</v>
      </c>
      <c r="H27" s="107">
        <f t="shared" si="4"/>
        <v>0</v>
      </c>
      <c r="I27" s="35"/>
      <c r="J27" s="36"/>
      <c r="K27" s="29"/>
      <c r="N27" s="50"/>
      <c r="O27" s="18"/>
      <c r="P27" s="18"/>
      <c r="Q27" s="18"/>
      <c r="R27"/>
      <c r="S27"/>
      <c r="T27"/>
      <c r="V27" s="15">
        <f>IFERROR((basicLWB-VLOOKUP(B27,$M$10:$N$18,2,FALSE))*E27*F27,0)</f>
        <v>0</v>
      </c>
      <c r="W27" s="12" t="e">
        <f t="shared" si="7"/>
        <v>#DIV/0!</v>
      </c>
      <c r="X27" s="11"/>
      <c r="Y27" s="4"/>
      <c r="Z27" s="4"/>
      <c r="AA27" s="4"/>
    </row>
    <row r="28" spans="1:27" ht="16.5" customHeight="1" x14ac:dyDescent="0.3">
      <c r="A28" s="27"/>
      <c r="B28" s="13"/>
      <c r="C28" s="3"/>
      <c r="D28" s="7"/>
      <c r="E28" s="5"/>
      <c r="F28" s="105">
        <f t="shared" si="0"/>
        <v>0</v>
      </c>
      <c r="G28" s="106">
        <f t="shared" si="1"/>
        <v>0</v>
      </c>
      <c r="H28" s="107">
        <f t="shared" si="4"/>
        <v>0</v>
      </c>
      <c r="I28" s="35"/>
      <c r="J28" s="36"/>
      <c r="K28" s="29"/>
      <c r="N28" s="50"/>
      <c r="O28" s="18"/>
      <c r="P28" s="18"/>
      <c r="Q28" s="18"/>
      <c r="R28"/>
      <c r="S28"/>
      <c r="T28"/>
      <c r="V28" s="15">
        <f>IFERROR((basicLWB-VLOOKUP(B28,$M$10:$N$18,2,FALSE))*E28*F28,0)</f>
        <v>0</v>
      </c>
      <c r="W28" s="12" t="e">
        <f t="shared" si="7"/>
        <v>#DIV/0!</v>
      </c>
      <c r="X28" s="11"/>
      <c r="Y28" s="4"/>
      <c r="Z28" s="4"/>
      <c r="AA28" s="4"/>
    </row>
    <row r="29" spans="1:27" ht="16.5" customHeight="1" x14ac:dyDescent="0.3">
      <c r="A29" s="27"/>
      <c r="B29" s="13"/>
      <c r="C29" s="3"/>
      <c r="D29" s="7"/>
      <c r="E29" s="5"/>
      <c r="F29" s="105">
        <f t="shared" si="0"/>
        <v>0</v>
      </c>
      <c r="G29" s="106">
        <f t="shared" si="1"/>
        <v>0</v>
      </c>
      <c r="H29" s="107">
        <f t="shared" si="4"/>
        <v>0</v>
      </c>
      <c r="I29" s="35"/>
      <c r="J29" s="17"/>
      <c r="K29" s="29"/>
      <c r="N29" s="50"/>
      <c r="O29" s="18"/>
      <c r="P29" s="18"/>
      <c r="Q29" s="18"/>
      <c r="R29"/>
      <c r="S29"/>
      <c r="T29"/>
      <c r="V29" s="15">
        <f>IFERROR((basicLWB-VLOOKUP(B29,$M$10:$N$18,2,FALSE))*E29*F29,0)</f>
        <v>0</v>
      </c>
      <c r="W29" s="12" t="e">
        <f t="shared" si="7"/>
        <v>#DIV/0!</v>
      </c>
      <c r="X29" s="11"/>
      <c r="Y29" s="4"/>
      <c r="Z29" s="4"/>
      <c r="AA29" s="4"/>
    </row>
    <row r="30" spans="1:27" ht="16.5" customHeight="1" x14ac:dyDescent="0.3">
      <c r="A30" s="27"/>
      <c r="B30" s="13"/>
      <c r="C30" s="3"/>
      <c r="D30" s="7"/>
      <c r="E30" s="5"/>
      <c r="F30" s="105">
        <f t="shared" si="0"/>
        <v>0</v>
      </c>
      <c r="G30" s="106">
        <f t="shared" si="1"/>
        <v>0</v>
      </c>
      <c r="H30" s="107">
        <f t="shared" si="4"/>
        <v>0</v>
      </c>
      <c r="I30" s="35"/>
      <c r="J30" s="37"/>
      <c r="K30" s="29"/>
      <c r="N30" s="50"/>
      <c r="O30" s="18"/>
      <c r="P30" s="18"/>
      <c r="Q30" s="18"/>
      <c r="R30"/>
      <c r="S30"/>
      <c r="T30"/>
      <c r="V30" s="15">
        <f>IFERROR((basicLWB-VLOOKUP(B30,$M$10:$N$18,2,FALSE))*E30*F30,0)</f>
        <v>0</v>
      </c>
      <c r="W30" s="12" t="e">
        <f t="shared" si="7"/>
        <v>#DIV/0!</v>
      </c>
      <c r="X30" s="11"/>
      <c r="Y30" s="4"/>
      <c r="Z30" s="4"/>
      <c r="AA30" s="4"/>
    </row>
    <row r="31" spans="1:27" ht="16.5" customHeight="1" x14ac:dyDescent="0.3">
      <c r="A31" s="27"/>
      <c r="B31" s="13"/>
      <c r="C31" s="3"/>
      <c r="D31" s="7"/>
      <c r="E31" s="5"/>
      <c r="F31" s="105">
        <f t="shared" si="0"/>
        <v>0</v>
      </c>
      <c r="G31" s="106">
        <f t="shared" si="1"/>
        <v>0</v>
      </c>
      <c r="H31" s="107">
        <f t="shared" si="4"/>
        <v>0</v>
      </c>
      <c r="I31" s="35"/>
      <c r="J31" s="17"/>
      <c r="K31" s="29"/>
      <c r="N31" s="50"/>
      <c r="O31" s="18"/>
      <c r="P31" s="18"/>
      <c r="Q31" s="18"/>
      <c r="R31"/>
      <c r="S31"/>
      <c r="T31"/>
      <c r="V31" s="15">
        <f>IFERROR((basicLWB-VLOOKUP(B31,$M$10:$N$18,2,FALSE))*E31*F31,0)</f>
        <v>0</v>
      </c>
      <c r="W31" s="12" t="e">
        <f t="shared" si="7"/>
        <v>#DIV/0!</v>
      </c>
      <c r="X31" s="11"/>
      <c r="Y31" s="4"/>
      <c r="Z31" s="4"/>
      <c r="AA31" s="4"/>
    </row>
    <row r="32" spans="1:27" ht="16.5" customHeight="1" x14ac:dyDescent="0.3">
      <c r="A32" s="27"/>
      <c r="B32" s="14"/>
      <c r="C32" s="3"/>
      <c r="D32" s="1"/>
      <c r="E32" s="5"/>
      <c r="F32" s="105">
        <f t="shared" si="0"/>
        <v>0</v>
      </c>
      <c r="G32" s="106">
        <f t="shared" si="1"/>
        <v>0</v>
      </c>
      <c r="H32" s="107">
        <f t="shared" si="4"/>
        <v>0</v>
      </c>
      <c r="I32" s="35"/>
      <c r="J32" s="17"/>
      <c r="K32" s="29"/>
      <c r="N32" s="50"/>
      <c r="O32" s="18"/>
      <c r="P32" s="18"/>
      <c r="Q32" s="18"/>
      <c r="R32"/>
      <c r="S32"/>
      <c r="T32"/>
      <c r="V32" s="15">
        <f>IFERROR((basicLWB-VLOOKUP(B32,$M$10:$N$18,2,FALSE))*E32*F32,0)</f>
        <v>0</v>
      </c>
      <c r="W32" s="12" t="e">
        <f t="shared" si="7"/>
        <v>#DIV/0!</v>
      </c>
      <c r="X32" s="11"/>
      <c r="Y32" s="4"/>
      <c r="Z32" s="4"/>
      <c r="AA32" s="4"/>
    </row>
    <row r="33" spans="1:27" ht="16.5" customHeight="1" x14ac:dyDescent="0.3">
      <c r="A33" s="27"/>
      <c r="B33" s="14"/>
      <c r="C33" s="3"/>
      <c r="D33" s="1"/>
      <c r="E33" s="5"/>
      <c r="F33" s="105">
        <f t="shared" si="0"/>
        <v>0</v>
      </c>
      <c r="G33" s="106">
        <f t="shared" si="1"/>
        <v>0</v>
      </c>
      <c r="H33" s="107">
        <f t="shared" si="4"/>
        <v>0</v>
      </c>
      <c r="I33" s="35"/>
      <c r="J33" s="17"/>
      <c r="K33" s="29"/>
      <c r="O33" s="18"/>
      <c r="P33" s="18"/>
      <c r="Q33" s="18"/>
      <c r="R33"/>
      <c r="S33"/>
      <c r="T33"/>
      <c r="V33" s="15">
        <f>IFERROR((basicLWB-VLOOKUP(B33,$M$10:$N$18,2,FALSE))*E33*F33,0)</f>
        <v>0</v>
      </c>
      <c r="W33" s="12" t="e">
        <f t="shared" si="7"/>
        <v>#DIV/0!</v>
      </c>
      <c r="X33" s="11"/>
      <c r="Y33" s="4"/>
      <c r="Z33" s="4"/>
      <c r="AA33" s="4"/>
    </row>
    <row r="34" spans="1:27" ht="16.5" customHeight="1" x14ac:dyDescent="0.3">
      <c r="A34" s="27"/>
      <c r="B34" s="14"/>
      <c r="C34" s="3"/>
      <c r="D34" s="1"/>
      <c r="E34" s="5"/>
      <c r="F34" s="105">
        <f t="shared" si="0"/>
        <v>0</v>
      </c>
      <c r="G34" s="106">
        <f t="shared" si="1"/>
        <v>0</v>
      </c>
      <c r="H34" s="107">
        <f t="shared" si="4"/>
        <v>0</v>
      </c>
      <c r="I34" s="35"/>
      <c r="J34" s="17"/>
      <c r="K34" s="29"/>
      <c r="O34" s="18"/>
      <c r="P34" s="18"/>
      <c r="Q34" s="18"/>
      <c r="R34"/>
      <c r="S34"/>
      <c r="T34"/>
      <c r="V34" s="15">
        <f>IFERROR((basicLWB-VLOOKUP(B34,$M$10:$N$18,2,FALSE))*E34*F34,0)</f>
        <v>0</v>
      </c>
      <c r="W34" s="12" t="e">
        <f t="shared" ref="W34:W40" si="8">+V34/LWgap</f>
        <v>#DIV/0!</v>
      </c>
      <c r="X34" s="11"/>
      <c r="Y34" s="4"/>
      <c r="Z34" s="4"/>
      <c r="AA34" s="4"/>
    </row>
    <row r="35" spans="1:27" ht="16.5" customHeight="1" x14ac:dyDescent="0.3">
      <c r="A35" s="27"/>
      <c r="B35" s="14"/>
      <c r="C35" s="3"/>
      <c r="D35" s="1"/>
      <c r="E35" s="5"/>
      <c r="F35" s="105">
        <f t="shared" si="0"/>
        <v>0</v>
      </c>
      <c r="G35" s="106">
        <f t="shared" si="1"/>
        <v>0</v>
      </c>
      <c r="H35" s="107">
        <f t="shared" si="4"/>
        <v>0</v>
      </c>
      <c r="I35" s="35"/>
      <c r="J35" s="17"/>
      <c r="K35" s="29"/>
      <c r="O35" s="18"/>
      <c r="P35" s="18"/>
      <c r="Q35" s="18"/>
      <c r="R35"/>
      <c r="S35"/>
      <c r="T35"/>
      <c r="V35" s="15">
        <f>IFERROR((basicLWB-VLOOKUP(B35,$M$10:$N$18,2,FALSE))*E35*F35,0)</f>
        <v>0</v>
      </c>
      <c r="W35" s="12" t="e">
        <f t="shared" si="8"/>
        <v>#DIV/0!</v>
      </c>
      <c r="X35" s="11"/>
      <c r="Y35" s="4"/>
      <c r="Z35" s="4"/>
      <c r="AA35" s="4"/>
    </row>
    <row r="36" spans="1:27" ht="16.5" customHeight="1" x14ac:dyDescent="0.3">
      <c r="A36" s="27"/>
      <c r="B36" s="14"/>
      <c r="C36" s="3"/>
      <c r="D36" s="1"/>
      <c r="E36" s="5"/>
      <c r="F36" s="105">
        <f t="shared" si="0"/>
        <v>0</v>
      </c>
      <c r="G36" s="106">
        <f t="shared" si="1"/>
        <v>0</v>
      </c>
      <c r="H36" s="107">
        <f t="shared" si="4"/>
        <v>0</v>
      </c>
      <c r="I36" s="35"/>
      <c r="J36" s="37"/>
      <c r="K36" s="29"/>
      <c r="O36" s="18"/>
      <c r="P36" s="18"/>
      <c r="Q36" s="18"/>
      <c r="R36"/>
      <c r="S36"/>
      <c r="T36"/>
      <c r="V36" s="15">
        <f>IFERROR((basicLWB-VLOOKUP(B36,$M$10:$N$18,2,FALSE))*E36*F36,0)</f>
        <v>0</v>
      </c>
      <c r="W36" s="12" t="e">
        <f t="shared" si="8"/>
        <v>#DIV/0!</v>
      </c>
      <c r="X36" s="11"/>
      <c r="Y36" s="4"/>
      <c r="Z36" s="4"/>
      <c r="AA36" s="4"/>
    </row>
    <row r="37" spans="1:27" ht="16.5" customHeight="1" x14ac:dyDescent="0.3">
      <c r="A37" s="27"/>
      <c r="B37" s="14"/>
      <c r="C37" s="3"/>
      <c r="D37" s="1"/>
      <c r="E37" s="5"/>
      <c r="F37" s="105">
        <f t="shared" si="0"/>
        <v>0</v>
      </c>
      <c r="G37" s="106">
        <f t="shared" si="1"/>
        <v>0</v>
      </c>
      <c r="H37" s="107">
        <f t="shared" si="4"/>
        <v>0</v>
      </c>
      <c r="I37" s="35"/>
      <c r="J37" s="37"/>
      <c r="K37" s="29"/>
      <c r="O37" s="18"/>
      <c r="P37" s="18"/>
      <c r="Q37" s="18"/>
      <c r="R37"/>
      <c r="S37"/>
      <c r="T37"/>
      <c r="V37" s="15">
        <f>IFERROR((basicLWB-VLOOKUP(B37,$M$10:$N$18,2,FALSE))*E37*F37,0)</f>
        <v>0</v>
      </c>
      <c r="W37" s="12" t="e">
        <f t="shared" si="8"/>
        <v>#DIV/0!</v>
      </c>
      <c r="X37" s="11"/>
      <c r="Y37" s="4"/>
      <c r="Z37" s="4"/>
      <c r="AA37" s="4"/>
    </row>
    <row r="38" spans="1:27" ht="16.5" customHeight="1" x14ac:dyDescent="0.3">
      <c r="A38" s="27"/>
      <c r="B38" s="14"/>
      <c r="C38" s="3"/>
      <c r="D38" s="1"/>
      <c r="E38" s="5"/>
      <c r="F38" s="105">
        <f t="shared" si="0"/>
        <v>0</v>
      </c>
      <c r="G38" s="106">
        <f t="shared" si="1"/>
        <v>0</v>
      </c>
      <c r="H38" s="107">
        <f t="shared" si="4"/>
        <v>0</v>
      </c>
      <c r="I38" s="35"/>
      <c r="J38" s="17"/>
      <c r="K38" s="29"/>
      <c r="O38" s="18"/>
      <c r="P38" s="18"/>
      <c r="Q38" s="18"/>
      <c r="R38"/>
      <c r="S38"/>
      <c r="T38"/>
      <c r="V38" s="15">
        <f>IFERROR((basicLWB-VLOOKUP(B38,$M$10:$N$18,2,FALSE))*E38*F38,0)</f>
        <v>0</v>
      </c>
      <c r="W38" s="12" t="e">
        <f t="shared" si="8"/>
        <v>#DIV/0!</v>
      </c>
      <c r="X38" s="11"/>
      <c r="Y38" s="4"/>
      <c r="Z38" s="4"/>
      <c r="AA38" s="4"/>
    </row>
    <row r="39" spans="1:27" ht="16.5" customHeight="1" x14ac:dyDescent="0.3">
      <c r="A39" s="27"/>
      <c r="B39" s="14"/>
      <c r="C39" s="3"/>
      <c r="D39" s="1"/>
      <c r="E39" s="5"/>
      <c r="F39" s="105">
        <f t="shared" si="0"/>
        <v>0</v>
      </c>
      <c r="G39" s="106">
        <f t="shared" si="1"/>
        <v>0</v>
      </c>
      <c r="H39" s="107">
        <f t="shared" si="4"/>
        <v>0</v>
      </c>
      <c r="I39" s="35"/>
      <c r="J39" s="17"/>
      <c r="K39" s="29"/>
      <c r="O39" s="18"/>
      <c r="P39" s="18"/>
      <c r="Q39" s="18"/>
      <c r="R39"/>
      <c r="S39"/>
      <c r="T39"/>
      <c r="V39" s="15">
        <f>IFERROR((basicLWB-VLOOKUP(B39,$M$10:$N$18,2,FALSE))*E39*F39,0)</f>
        <v>0</v>
      </c>
      <c r="W39" s="12" t="e">
        <f t="shared" si="8"/>
        <v>#DIV/0!</v>
      </c>
      <c r="X39" s="11"/>
      <c r="Y39" s="4"/>
      <c r="Z39" s="4"/>
      <c r="AA39" s="4"/>
    </row>
    <row r="40" spans="1:27" ht="16.5" customHeight="1" thickBot="1" x14ac:dyDescent="0.35">
      <c r="A40" s="27"/>
      <c r="B40" s="14"/>
      <c r="C40" s="3"/>
      <c r="D40" s="1"/>
      <c r="E40" s="5"/>
      <c r="F40" s="105">
        <f t="shared" si="0"/>
        <v>0</v>
      </c>
      <c r="G40" s="106">
        <f t="shared" si="1"/>
        <v>0</v>
      </c>
      <c r="H40" s="107">
        <f t="shared" si="4"/>
        <v>0</v>
      </c>
      <c r="I40" s="35"/>
      <c r="J40" s="17"/>
      <c r="K40" s="29"/>
      <c r="O40" s="18"/>
      <c r="P40" s="18"/>
      <c r="Q40" s="18"/>
      <c r="R40"/>
      <c r="S40"/>
      <c r="T40"/>
      <c r="V40" s="15">
        <f>IFERROR((basicLWB-VLOOKUP(B40,$M$10:$N$18,2,FALSE))*E40*F40,0)</f>
        <v>0</v>
      </c>
      <c r="W40" s="12" t="e">
        <f t="shared" si="8"/>
        <v>#DIV/0!</v>
      </c>
      <c r="X40" s="11"/>
      <c r="Y40" s="4"/>
      <c r="Z40" s="4"/>
      <c r="AA40" s="4"/>
    </row>
    <row r="41" spans="1:27" ht="16.5" customHeight="1" thickBot="1" x14ac:dyDescent="0.35">
      <c r="A41" s="27"/>
      <c r="B41" s="100" t="s">
        <v>0</v>
      </c>
      <c r="C41" s="101">
        <f>SUM(C10:C40)</f>
        <v>0</v>
      </c>
      <c r="D41" s="101"/>
      <c r="E41" s="102"/>
      <c r="F41" s="102">
        <f>SUM(F10:F40)</f>
        <v>0</v>
      </c>
      <c r="G41" s="103">
        <f>SUM(G10:G40)</f>
        <v>0</v>
      </c>
      <c r="H41" s="104"/>
      <c r="I41" s="38"/>
      <c r="J41" s="17"/>
      <c r="K41" s="29"/>
      <c r="O41" s="18"/>
      <c r="P41" s="18"/>
      <c r="Q41" s="18"/>
      <c r="R41"/>
      <c r="S41"/>
      <c r="T41"/>
      <c r="V41" s="16">
        <f>SUM(V10:V40)</f>
        <v>0</v>
      </c>
      <c r="W41" s="9" t="e">
        <f>SUM(W10:W40)</f>
        <v>#DIV/0!</v>
      </c>
      <c r="X41" s="11"/>
      <c r="Y41" s="4"/>
      <c r="Z41" s="4"/>
      <c r="AA41" s="4"/>
    </row>
    <row r="42" spans="1:27" ht="15.75" customHeight="1" thickBot="1" x14ac:dyDescent="0.35">
      <c r="A42" s="27"/>
      <c r="B42" s="17"/>
      <c r="C42" s="17"/>
      <c r="D42" s="17"/>
      <c r="E42" s="17"/>
      <c r="F42" s="17"/>
      <c r="G42" s="17"/>
      <c r="H42" s="17"/>
      <c r="I42" s="17"/>
      <c r="J42" s="17"/>
      <c r="K42" s="29"/>
      <c r="O42" s="18"/>
      <c r="P42" s="18"/>
      <c r="Q42" s="18"/>
      <c r="R42"/>
      <c r="S42"/>
      <c r="T42"/>
    </row>
    <row r="43" spans="1:27" ht="15.75" customHeight="1" thickBot="1" x14ac:dyDescent="0.35">
      <c r="A43" s="27"/>
      <c r="B43" s="130" t="s">
        <v>1</v>
      </c>
      <c r="C43" s="131"/>
      <c r="D43" s="124" t="s">
        <v>15</v>
      </c>
      <c r="E43" s="125"/>
      <c r="F43" s="125"/>
      <c r="G43" s="126"/>
      <c r="H43" s="104">
        <f>+D6*0.3</f>
        <v>0</v>
      </c>
      <c r="I43" s="45" t="str">
        <f>T9&amp;"/periodo de "&amp;D5&amp;" meses"</f>
        <v>pesos/periodo de  meses</v>
      </c>
      <c r="J43" s="17"/>
      <c r="K43" s="29"/>
      <c r="O43" s="18"/>
      <c r="P43" s="18"/>
      <c r="Q43" s="18"/>
      <c r="R43"/>
      <c r="S43"/>
      <c r="T43"/>
    </row>
    <row r="44" spans="1:27" ht="15.75" customHeight="1" thickBot="1" x14ac:dyDescent="0.35">
      <c r="A44" s="27"/>
      <c r="B44" s="132"/>
      <c r="C44" s="133"/>
      <c r="D44" s="127" t="s">
        <v>52</v>
      </c>
      <c r="E44" s="128"/>
      <c r="F44" s="128"/>
      <c r="G44" s="129"/>
      <c r="H44" s="104">
        <f>G41</f>
        <v>0</v>
      </c>
      <c r="I44" s="45" t="str">
        <f>I43</f>
        <v>pesos/periodo de  meses</v>
      </c>
      <c r="J44" s="17"/>
      <c r="K44" s="29"/>
      <c r="O44" s="18"/>
      <c r="P44" s="18"/>
      <c r="Q44" s="18"/>
      <c r="R44"/>
      <c r="S44"/>
      <c r="T44"/>
    </row>
    <row r="45" spans="1:27" ht="6.75" customHeight="1" x14ac:dyDescent="0.3">
      <c r="A45" s="27"/>
      <c r="B45" s="17"/>
      <c r="C45" s="17"/>
      <c r="D45" s="17"/>
      <c r="E45" s="17"/>
      <c r="F45" s="17"/>
      <c r="G45" s="17"/>
      <c r="H45" s="17"/>
      <c r="I45" s="17"/>
      <c r="J45" s="17"/>
      <c r="K45" s="29"/>
      <c r="O45" s="18"/>
      <c r="P45" s="18"/>
      <c r="Q45" s="18"/>
      <c r="R45"/>
      <c r="S45"/>
      <c r="T45"/>
    </row>
    <row r="46" spans="1:27" ht="15.75" customHeight="1" x14ac:dyDescent="0.3">
      <c r="A46" s="27"/>
      <c r="B46" s="17"/>
      <c r="C46" s="17"/>
      <c r="D46" s="17"/>
      <c r="E46" s="17"/>
      <c r="F46" s="17"/>
      <c r="G46" s="17"/>
      <c r="H46" s="17"/>
      <c r="I46" s="17"/>
      <c r="J46" s="17"/>
      <c r="K46" s="29"/>
      <c r="O46" s="18"/>
      <c r="P46" s="18"/>
      <c r="Q46" s="18"/>
      <c r="R46"/>
      <c r="S46"/>
      <c r="T46"/>
    </row>
    <row r="47" spans="1:27" ht="15" thickBot="1" x14ac:dyDescent="0.35">
      <c r="A47" s="39"/>
      <c r="B47" s="40"/>
      <c r="C47" s="40"/>
      <c r="D47" s="40"/>
      <c r="E47" s="40"/>
      <c r="F47" s="40"/>
      <c r="G47" s="40"/>
      <c r="H47" s="40"/>
      <c r="I47" s="40"/>
      <c r="J47" s="40"/>
      <c r="K47" s="41"/>
      <c r="O47" s="18"/>
      <c r="P47" s="18"/>
      <c r="Q47" s="18"/>
      <c r="R47"/>
      <c r="S47"/>
      <c r="T47"/>
    </row>
    <row r="48" spans="1:27" x14ac:dyDescent="0.3">
      <c r="M48" s="108"/>
      <c r="O48" s="42"/>
      <c r="P48" s="42"/>
      <c r="Q48" s="42"/>
      <c r="R48" s="46"/>
      <c r="S48" s="43"/>
      <c r="T48" s="46"/>
    </row>
    <row r="49" spans="13:20" ht="15.6" x14ac:dyDescent="0.3">
      <c r="M49" s="52"/>
      <c r="N49" s="53"/>
      <c r="O49" s="54"/>
      <c r="P49" s="55"/>
      <c r="Q49" s="42"/>
      <c r="R49" s="56"/>
      <c r="S49" s="46"/>
      <c r="T49" s="46"/>
    </row>
    <row r="50" spans="13:20" ht="15.6" x14ac:dyDescent="0.3">
      <c r="M50" s="52"/>
      <c r="N50" s="53"/>
      <c r="O50" s="55"/>
      <c r="P50" s="55"/>
      <c r="Q50" s="42"/>
      <c r="R50" s="56"/>
      <c r="S50" s="46"/>
      <c r="T50" s="46"/>
    </row>
    <row r="51" spans="13:20" ht="15.6" x14ac:dyDescent="0.3">
      <c r="M51" s="52"/>
      <c r="N51" s="53"/>
      <c r="O51" s="55"/>
      <c r="P51" s="55"/>
      <c r="Q51" s="42"/>
      <c r="R51" s="56"/>
      <c r="S51" s="46"/>
      <c r="T51" s="46"/>
    </row>
    <row r="52" spans="13:20" ht="15.6" x14ac:dyDescent="0.3">
      <c r="M52" s="52"/>
      <c r="N52" s="53"/>
      <c r="O52" s="55"/>
      <c r="P52" s="55"/>
      <c r="Q52" s="42"/>
      <c r="R52" s="56"/>
      <c r="S52" s="46"/>
      <c r="T52" s="46"/>
    </row>
    <row r="53" spans="13:20" ht="15.6" x14ac:dyDescent="0.3">
      <c r="M53" s="52"/>
      <c r="N53" s="53"/>
      <c r="O53" s="55"/>
      <c r="P53" s="55"/>
      <c r="Q53" s="42"/>
      <c r="R53" s="56"/>
      <c r="S53" s="46"/>
      <c r="T53" s="46"/>
    </row>
    <row r="54" spans="13:20" ht="15.6" x14ac:dyDescent="0.3">
      <c r="M54" s="52"/>
      <c r="N54" s="53"/>
      <c r="O54" s="55"/>
      <c r="P54" s="55"/>
      <c r="Q54" s="42"/>
      <c r="R54" s="56"/>
      <c r="S54" s="46"/>
      <c r="T54" s="46"/>
    </row>
    <row r="55" spans="13:20" ht="15.6" x14ac:dyDescent="0.3">
      <c r="M55" s="52"/>
      <c r="N55" s="53"/>
      <c r="O55" s="55"/>
      <c r="P55" s="55"/>
      <c r="Q55" s="42"/>
      <c r="R55" s="56"/>
      <c r="S55" s="46"/>
      <c r="T55" s="46"/>
    </row>
    <row r="56" spans="13:20" ht="15.6" x14ac:dyDescent="0.3">
      <c r="M56" s="52"/>
      <c r="N56" s="53"/>
      <c r="O56" s="55"/>
      <c r="P56" s="55"/>
      <c r="Q56" s="42"/>
      <c r="R56" s="56"/>
      <c r="S56" s="46"/>
      <c r="T56" s="46"/>
    </row>
    <row r="57" spans="13:20" ht="15.6" x14ac:dyDescent="0.3">
      <c r="M57" s="52"/>
      <c r="N57" s="53"/>
      <c r="O57" s="55"/>
      <c r="P57" s="54"/>
      <c r="Q57" s="42"/>
      <c r="R57" s="56"/>
      <c r="S57" s="46"/>
      <c r="T57" s="46"/>
    </row>
    <row r="58" spans="13:20" x14ac:dyDescent="0.3">
      <c r="O58" s="57"/>
      <c r="P58" s="109"/>
      <c r="Q58" s="42"/>
      <c r="R58" s="46"/>
      <c r="S58" s="46"/>
      <c r="T58" s="46"/>
    </row>
    <row r="59" spans="13:20" x14ac:dyDescent="0.3">
      <c r="M59" s="108"/>
      <c r="O59" s="42"/>
      <c r="P59" s="42"/>
      <c r="Q59" s="42"/>
      <c r="R59" s="46"/>
      <c r="S59" s="43"/>
      <c r="T59" s="46"/>
    </row>
    <row r="60" spans="13:20" ht="15.6" x14ac:dyDescent="0.3">
      <c r="M60" s="52"/>
      <c r="N60" s="53"/>
      <c r="O60" s="54"/>
      <c r="P60" s="55"/>
      <c r="Q60" s="42"/>
      <c r="R60" s="56"/>
      <c r="S60" s="46"/>
      <c r="T60" s="46"/>
    </row>
    <row r="61" spans="13:20" ht="15.6" x14ac:dyDescent="0.3">
      <c r="M61" s="52"/>
      <c r="N61" s="53"/>
      <c r="O61" s="55"/>
      <c r="P61" s="55"/>
      <c r="Q61" s="42"/>
      <c r="R61" s="56"/>
      <c r="S61" s="46"/>
      <c r="T61" s="46"/>
    </row>
    <row r="62" spans="13:20" ht="15.6" x14ac:dyDescent="0.3">
      <c r="M62" s="52"/>
      <c r="N62" s="53"/>
      <c r="O62" s="55"/>
      <c r="P62" s="55"/>
      <c r="Q62" s="42"/>
      <c r="R62" s="56"/>
      <c r="S62" s="46"/>
      <c r="T62" s="46"/>
    </row>
    <row r="63" spans="13:20" ht="15.6" x14ac:dyDescent="0.3">
      <c r="M63" s="52"/>
      <c r="N63" s="53"/>
      <c r="O63" s="55"/>
      <c r="P63" s="55"/>
      <c r="Q63" s="42"/>
      <c r="R63" s="56"/>
      <c r="S63" s="46"/>
      <c r="T63" s="46"/>
    </row>
    <row r="64" spans="13:20" ht="15.6" x14ac:dyDescent="0.3">
      <c r="M64" s="52"/>
      <c r="N64" s="53"/>
      <c r="O64" s="55"/>
      <c r="P64" s="55"/>
      <c r="Q64" s="42"/>
      <c r="R64" s="56"/>
      <c r="S64" s="46"/>
      <c r="T64" s="46"/>
    </row>
    <row r="65" spans="13:20" ht="15.6" x14ac:dyDescent="0.3">
      <c r="M65" s="52"/>
      <c r="N65" s="53"/>
      <c r="O65" s="55"/>
      <c r="P65" s="55"/>
      <c r="Q65" s="42"/>
      <c r="R65" s="56"/>
      <c r="S65" s="46"/>
      <c r="T65" s="46"/>
    </row>
    <row r="66" spans="13:20" ht="15.6" x14ac:dyDescent="0.3">
      <c r="M66" s="52"/>
      <c r="N66" s="53"/>
      <c r="O66" s="55"/>
      <c r="P66" s="55"/>
      <c r="Q66" s="42"/>
      <c r="R66" s="56"/>
      <c r="S66" s="46"/>
      <c r="T66" s="46"/>
    </row>
    <row r="67" spans="13:20" ht="15.6" x14ac:dyDescent="0.3">
      <c r="M67" s="52"/>
      <c r="N67" s="53"/>
      <c r="O67" s="55"/>
      <c r="P67" s="55"/>
      <c r="Q67" s="42"/>
      <c r="R67" s="56"/>
      <c r="S67" s="46"/>
      <c r="T67" s="46"/>
    </row>
    <row r="68" spans="13:20" ht="15.6" x14ac:dyDescent="0.3">
      <c r="M68" s="52"/>
      <c r="N68" s="53"/>
      <c r="O68" s="55"/>
      <c r="P68" s="54"/>
      <c r="Q68" s="42"/>
      <c r="R68" s="56"/>
      <c r="S68" s="46"/>
      <c r="T68" s="46"/>
    </row>
    <row r="69" spans="13:20" x14ac:dyDescent="0.3">
      <c r="O69" s="57"/>
      <c r="P69" s="109"/>
      <c r="Q69" s="42"/>
      <c r="R69" s="46"/>
      <c r="S69" s="46"/>
      <c r="T69" s="46"/>
    </row>
    <row r="70" spans="13:20" x14ac:dyDescent="0.3">
      <c r="M70" s="47"/>
      <c r="O70" s="42"/>
      <c r="P70" s="42"/>
      <c r="Q70" s="42"/>
      <c r="R70" s="46"/>
      <c r="S70" s="43"/>
      <c r="T70" s="46"/>
    </row>
    <row r="71" spans="13:20" ht="15.6" x14ac:dyDescent="0.3">
      <c r="M71" s="52"/>
      <c r="N71" s="53"/>
      <c r="O71" s="54"/>
      <c r="P71" s="55"/>
      <c r="Q71" s="42"/>
      <c r="R71" s="56"/>
      <c r="S71" s="46"/>
      <c r="T71" s="46"/>
    </row>
    <row r="72" spans="13:20" ht="15.6" x14ac:dyDescent="0.3">
      <c r="M72" s="52"/>
      <c r="N72" s="53"/>
      <c r="O72" s="55"/>
      <c r="P72" s="55"/>
      <c r="Q72" s="42"/>
      <c r="R72" s="56"/>
      <c r="S72" s="46"/>
      <c r="T72" s="46"/>
    </row>
    <row r="73" spans="13:20" ht="15.6" x14ac:dyDescent="0.3">
      <c r="M73" s="52"/>
      <c r="N73" s="53"/>
      <c r="O73" s="55"/>
      <c r="P73" s="55"/>
      <c r="Q73" s="42"/>
      <c r="R73" s="56"/>
      <c r="S73" s="46"/>
      <c r="T73" s="46"/>
    </row>
    <row r="74" spans="13:20" ht="15.6" x14ac:dyDescent="0.3">
      <c r="M74" s="52"/>
      <c r="N74" s="53"/>
      <c r="O74" s="55"/>
      <c r="P74" s="55"/>
      <c r="Q74" s="42"/>
      <c r="R74" s="56"/>
      <c r="S74" s="46"/>
      <c r="T74" s="46"/>
    </row>
    <row r="75" spans="13:20" ht="15.6" x14ac:dyDescent="0.3">
      <c r="M75" s="52"/>
      <c r="N75" s="53"/>
      <c r="O75" s="55"/>
      <c r="P75" s="55"/>
      <c r="Q75" s="42"/>
      <c r="R75" s="56"/>
      <c r="S75" s="46"/>
      <c r="T75" s="46"/>
    </row>
    <row r="76" spans="13:20" ht="15.6" x14ac:dyDescent="0.3">
      <c r="M76" s="52"/>
      <c r="N76" s="53"/>
      <c r="O76" s="55"/>
      <c r="P76" s="55"/>
      <c r="Q76" s="42"/>
      <c r="R76" s="56"/>
      <c r="S76" s="46"/>
      <c r="T76" s="46"/>
    </row>
    <row r="77" spans="13:20" ht="15.6" x14ac:dyDescent="0.3">
      <c r="M77" s="52"/>
      <c r="N77" s="53"/>
      <c r="O77" s="55"/>
      <c r="P77" s="55"/>
      <c r="Q77" s="42"/>
      <c r="R77" s="56"/>
      <c r="S77" s="46"/>
      <c r="T77" s="46"/>
    </row>
    <row r="78" spans="13:20" ht="15.6" x14ac:dyDescent="0.3">
      <c r="M78" s="52"/>
      <c r="N78" s="53"/>
      <c r="O78" s="55"/>
      <c r="P78" s="55"/>
      <c r="Q78" s="42"/>
      <c r="R78" s="56"/>
      <c r="S78" s="46"/>
      <c r="T78" s="46"/>
    </row>
    <row r="79" spans="13:20" ht="15.6" x14ac:dyDescent="0.3">
      <c r="M79" s="52"/>
      <c r="N79" s="53"/>
      <c r="O79" s="55"/>
      <c r="P79" s="54"/>
      <c r="Q79" s="42"/>
      <c r="R79" s="56"/>
      <c r="S79" s="46"/>
      <c r="T79" s="46"/>
    </row>
    <row r="80" spans="13:20" x14ac:dyDescent="0.3">
      <c r="O80" s="57"/>
      <c r="P80" s="109"/>
      <c r="Q80" s="42"/>
      <c r="R80" s="46"/>
      <c r="S80" s="46"/>
      <c r="T80" s="46"/>
    </row>
    <row r="81" spans="13:20" x14ac:dyDescent="0.3">
      <c r="M81" s="47"/>
      <c r="O81" s="42"/>
      <c r="P81" s="42"/>
      <c r="Q81" s="42"/>
      <c r="R81" s="46"/>
      <c r="S81" s="43"/>
      <c r="T81" s="46"/>
    </row>
    <row r="82" spans="13:20" ht="15.6" x14ac:dyDescent="0.3">
      <c r="M82" s="52"/>
      <c r="N82" s="53"/>
      <c r="O82" s="54"/>
      <c r="P82" s="55"/>
      <c r="Q82" s="42"/>
      <c r="R82" s="56"/>
      <c r="S82" s="46"/>
      <c r="T82" s="46"/>
    </row>
    <row r="83" spans="13:20" ht="15.6" x14ac:dyDescent="0.3">
      <c r="M83" s="52"/>
      <c r="N83" s="53"/>
      <c r="O83" s="55"/>
      <c r="P83" s="55"/>
      <c r="Q83" s="42"/>
      <c r="R83" s="56"/>
      <c r="S83" s="46"/>
      <c r="T83" s="46"/>
    </row>
    <row r="84" spans="13:20" ht="15.6" x14ac:dyDescent="0.3">
      <c r="M84" s="52"/>
      <c r="N84" s="53"/>
      <c r="O84" s="55"/>
      <c r="P84" s="55"/>
      <c r="Q84" s="42"/>
      <c r="R84" s="56"/>
      <c r="S84" s="46"/>
      <c r="T84" s="46"/>
    </row>
    <row r="85" spans="13:20" ht="15.6" x14ac:dyDescent="0.3">
      <c r="M85" s="52"/>
      <c r="N85" s="53"/>
      <c r="O85" s="55"/>
      <c r="P85" s="55"/>
      <c r="Q85" s="42"/>
      <c r="R85" s="56"/>
      <c r="S85" s="46"/>
      <c r="T85" s="46"/>
    </row>
    <row r="86" spans="13:20" ht="15.6" x14ac:dyDescent="0.3">
      <c r="M86" s="52"/>
      <c r="N86" s="53"/>
      <c r="O86" s="55"/>
      <c r="P86" s="55"/>
      <c r="Q86" s="42"/>
      <c r="R86" s="56"/>
      <c r="S86" s="46"/>
      <c r="T86" s="46"/>
    </row>
    <row r="87" spans="13:20" ht="15.6" x14ac:dyDescent="0.3">
      <c r="M87" s="52"/>
      <c r="N87" s="53"/>
      <c r="O87" s="55"/>
      <c r="P87" s="55"/>
      <c r="Q87" s="42"/>
      <c r="R87" s="56"/>
      <c r="S87" s="46"/>
      <c r="T87" s="46"/>
    </row>
    <row r="88" spans="13:20" ht="15.6" x14ac:dyDescent="0.3">
      <c r="M88" s="52"/>
      <c r="N88" s="53"/>
      <c r="O88" s="55"/>
      <c r="P88" s="55"/>
      <c r="Q88" s="42"/>
      <c r="R88" s="56"/>
      <c r="S88" s="46"/>
      <c r="T88" s="46"/>
    </row>
    <row r="89" spans="13:20" ht="15.6" x14ac:dyDescent="0.3">
      <c r="M89" s="52"/>
      <c r="N89" s="53"/>
      <c r="O89" s="55"/>
      <c r="P89" s="55"/>
      <c r="Q89" s="42"/>
      <c r="R89" s="56"/>
      <c r="S89" s="46"/>
      <c r="T89" s="46"/>
    </row>
    <row r="90" spans="13:20" ht="15.6" x14ac:dyDescent="0.3">
      <c r="M90" s="52"/>
      <c r="N90" s="53"/>
      <c r="O90" s="55"/>
      <c r="P90" s="54"/>
      <c r="Q90" s="42"/>
      <c r="R90" s="56"/>
      <c r="S90" s="46"/>
      <c r="T90" s="46"/>
    </row>
    <row r="91" spans="13:20" x14ac:dyDescent="0.3">
      <c r="O91" s="57"/>
      <c r="P91" s="109"/>
      <c r="Q91" s="42"/>
      <c r="R91" s="46"/>
      <c r="S91" s="46"/>
      <c r="T91" s="46"/>
    </row>
    <row r="92" spans="13:20" x14ac:dyDescent="0.3">
      <c r="M92" s="47"/>
      <c r="O92" s="42"/>
      <c r="P92" s="42"/>
      <c r="Q92" s="42"/>
      <c r="R92" s="46"/>
      <c r="S92" s="43"/>
      <c r="T92" s="46"/>
    </row>
    <row r="93" spans="13:20" ht="15.6" x14ac:dyDescent="0.3">
      <c r="M93" s="52"/>
      <c r="N93" s="53"/>
      <c r="O93" s="54"/>
      <c r="P93" s="55"/>
      <c r="Q93" s="42"/>
      <c r="R93" s="56"/>
      <c r="S93" s="46"/>
      <c r="T93" s="46"/>
    </row>
    <row r="94" spans="13:20" ht="15.6" x14ac:dyDescent="0.3">
      <c r="M94" s="52"/>
      <c r="N94" s="53"/>
      <c r="O94" s="55"/>
      <c r="P94" s="55"/>
      <c r="Q94" s="42"/>
      <c r="R94" s="56"/>
      <c r="S94" s="46"/>
      <c r="T94" s="46"/>
    </row>
    <row r="95" spans="13:20" ht="15.6" x14ac:dyDescent="0.3">
      <c r="M95" s="52"/>
      <c r="N95" s="53"/>
      <c r="O95" s="55"/>
      <c r="P95" s="55"/>
      <c r="Q95" s="42"/>
      <c r="R95" s="56"/>
      <c r="S95" s="46"/>
      <c r="T95" s="46"/>
    </row>
    <row r="96" spans="13:20" ht="15.6" x14ac:dyDescent="0.3">
      <c r="M96" s="52"/>
      <c r="N96" s="53"/>
      <c r="O96" s="55"/>
      <c r="P96" s="55"/>
      <c r="Q96" s="42"/>
      <c r="R96" s="56"/>
      <c r="S96" s="46"/>
      <c r="T96" s="46"/>
    </row>
    <row r="97" spans="13:20" ht="15.6" x14ac:dyDescent="0.3">
      <c r="M97" s="52"/>
      <c r="N97" s="53"/>
      <c r="O97" s="55"/>
      <c r="P97" s="55"/>
      <c r="Q97" s="42"/>
      <c r="R97" s="56"/>
      <c r="S97" s="46"/>
      <c r="T97" s="46"/>
    </row>
    <row r="98" spans="13:20" ht="15.6" x14ac:dyDescent="0.3">
      <c r="M98" s="52"/>
      <c r="N98" s="53"/>
      <c r="O98" s="55"/>
      <c r="P98" s="55"/>
      <c r="Q98" s="42"/>
      <c r="R98" s="56"/>
      <c r="S98" s="46"/>
      <c r="T98" s="46"/>
    </row>
    <row r="99" spans="13:20" ht="15.6" x14ac:dyDescent="0.3">
      <c r="M99" s="52"/>
      <c r="N99" s="53"/>
      <c r="O99" s="55"/>
      <c r="P99" s="55"/>
      <c r="Q99" s="42"/>
      <c r="R99" s="56"/>
      <c r="S99" s="46"/>
      <c r="T99" s="46"/>
    </row>
    <row r="100" spans="13:20" ht="15.6" x14ac:dyDescent="0.3">
      <c r="M100" s="52"/>
      <c r="N100" s="53"/>
      <c r="O100" s="55"/>
      <c r="P100" s="55"/>
      <c r="Q100" s="42"/>
      <c r="R100" s="56"/>
      <c r="S100" s="46"/>
      <c r="T100" s="46"/>
    </row>
    <row r="101" spans="13:20" ht="15.6" x14ac:dyDescent="0.3">
      <c r="M101" s="52"/>
      <c r="N101" s="53"/>
      <c r="O101" s="55"/>
      <c r="P101" s="54"/>
      <c r="Q101" s="42"/>
      <c r="R101" s="56"/>
      <c r="S101" s="46"/>
      <c r="T101" s="46"/>
    </row>
    <row r="102" spans="13:20" x14ac:dyDescent="0.3">
      <c r="O102" s="57"/>
      <c r="P102" s="109"/>
      <c r="Q102" s="42"/>
      <c r="R102" s="46"/>
      <c r="S102" s="46"/>
      <c r="T102" s="46"/>
    </row>
    <row r="103" spans="13:20" x14ac:dyDescent="0.3">
      <c r="M103" s="47"/>
      <c r="O103" s="42"/>
      <c r="P103" s="42"/>
      <c r="Q103" s="42"/>
      <c r="R103" s="46"/>
      <c r="S103" s="43"/>
      <c r="T103" s="46"/>
    </row>
    <row r="104" spans="13:20" ht="15.6" x14ac:dyDescent="0.3">
      <c r="M104" s="52"/>
      <c r="N104" s="53"/>
      <c r="O104" s="54"/>
      <c r="P104" s="55"/>
      <c r="Q104" s="42"/>
      <c r="R104" s="56"/>
      <c r="S104" s="46"/>
      <c r="T104" s="46"/>
    </row>
    <row r="105" spans="13:20" ht="15.6" x14ac:dyDescent="0.3">
      <c r="M105" s="52"/>
      <c r="N105" s="53"/>
      <c r="O105" s="55"/>
      <c r="P105" s="55"/>
      <c r="Q105" s="42"/>
      <c r="R105" s="56"/>
      <c r="S105" s="46"/>
      <c r="T105" s="46"/>
    </row>
    <row r="106" spans="13:20" ht="15.6" x14ac:dyDescent="0.3">
      <c r="M106" s="52"/>
      <c r="N106" s="53"/>
      <c r="O106" s="55"/>
      <c r="P106" s="55"/>
      <c r="Q106" s="42"/>
      <c r="R106" s="56"/>
      <c r="S106" s="46"/>
      <c r="T106" s="46"/>
    </row>
    <row r="107" spans="13:20" ht="15.6" x14ac:dyDescent="0.3">
      <c r="M107" s="52"/>
      <c r="N107" s="53"/>
      <c r="O107" s="55"/>
      <c r="P107" s="55"/>
      <c r="Q107" s="42"/>
      <c r="R107" s="56"/>
      <c r="S107" s="46"/>
      <c r="T107" s="46"/>
    </row>
    <row r="108" spans="13:20" ht="15.6" x14ac:dyDescent="0.3">
      <c r="M108" s="52"/>
      <c r="N108" s="53"/>
      <c r="O108" s="55"/>
      <c r="P108" s="55"/>
      <c r="Q108" s="42"/>
      <c r="R108" s="56"/>
      <c r="S108" s="46"/>
      <c r="T108" s="46"/>
    </row>
    <row r="109" spans="13:20" ht="15.6" x14ac:dyDescent="0.3">
      <c r="M109" s="52"/>
      <c r="N109" s="53"/>
      <c r="O109" s="55"/>
      <c r="P109" s="55"/>
      <c r="Q109" s="42"/>
      <c r="R109" s="56"/>
      <c r="S109" s="46"/>
      <c r="T109" s="46"/>
    </row>
    <row r="110" spans="13:20" ht="15.6" x14ac:dyDescent="0.3">
      <c r="M110" s="52"/>
      <c r="N110" s="53"/>
      <c r="O110" s="55"/>
      <c r="P110" s="55"/>
      <c r="Q110" s="42"/>
      <c r="R110" s="56"/>
      <c r="S110" s="46"/>
      <c r="T110" s="46"/>
    </row>
    <row r="111" spans="13:20" ht="15.6" x14ac:dyDescent="0.3">
      <c r="M111" s="52"/>
      <c r="N111" s="53"/>
      <c r="O111" s="55"/>
      <c r="P111" s="55"/>
      <c r="Q111" s="42"/>
      <c r="R111" s="56"/>
      <c r="S111" s="46"/>
      <c r="T111" s="46"/>
    </row>
    <row r="112" spans="13:20" ht="15.6" x14ac:dyDescent="0.3">
      <c r="M112" s="52"/>
      <c r="N112" s="53"/>
      <c r="O112" s="55"/>
      <c r="P112" s="54"/>
      <c r="Q112" s="42"/>
      <c r="R112" s="56"/>
      <c r="S112" s="46"/>
      <c r="T112" s="46"/>
    </row>
    <row r="113" spans="13:20" x14ac:dyDescent="0.3">
      <c r="O113" s="57"/>
      <c r="P113" s="109"/>
      <c r="Q113" s="42"/>
      <c r="R113" s="46"/>
      <c r="S113" s="46"/>
      <c r="T113" s="46"/>
    </row>
    <row r="114" spans="13:20" x14ac:dyDescent="0.3">
      <c r="M114" s="47"/>
      <c r="O114" s="42"/>
      <c r="P114" s="42"/>
      <c r="Q114" s="42"/>
      <c r="R114" s="46"/>
      <c r="S114" s="43"/>
      <c r="T114" s="46"/>
    </row>
    <row r="115" spans="13:20" ht="15.6" x14ac:dyDescent="0.3">
      <c r="M115" s="52"/>
      <c r="N115" s="53"/>
      <c r="O115" s="54"/>
      <c r="P115" s="55"/>
      <c r="Q115" s="42"/>
      <c r="R115" s="56"/>
      <c r="S115" s="46"/>
      <c r="T115" s="46"/>
    </row>
    <row r="116" spans="13:20" ht="15.6" x14ac:dyDescent="0.3">
      <c r="M116" s="52"/>
      <c r="N116" s="53"/>
      <c r="O116" s="55"/>
      <c r="P116" s="55"/>
      <c r="Q116" s="42"/>
      <c r="R116" s="56"/>
      <c r="S116" s="46"/>
      <c r="T116" s="46"/>
    </row>
    <row r="117" spans="13:20" ht="15.6" x14ac:dyDescent="0.3">
      <c r="M117" s="52"/>
      <c r="N117" s="53"/>
      <c r="O117" s="55"/>
      <c r="P117" s="55"/>
      <c r="Q117" s="42"/>
      <c r="R117" s="56"/>
      <c r="S117" s="46"/>
      <c r="T117" s="46"/>
    </row>
    <row r="118" spans="13:20" ht="15.6" x14ac:dyDescent="0.3">
      <c r="M118" s="52"/>
      <c r="N118" s="53"/>
      <c r="O118" s="55"/>
      <c r="P118" s="55"/>
      <c r="Q118" s="42"/>
      <c r="R118" s="56"/>
      <c r="S118" s="46"/>
      <c r="T118" s="46"/>
    </row>
    <row r="119" spans="13:20" ht="15.6" x14ac:dyDescent="0.3">
      <c r="M119" s="52"/>
      <c r="N119" s="53"/>
      <c r="O119" s="55"/>
      <c r="P119" s="55"/>
      <c r="Q119" s="42"/>
      <c r="R119" s="56"/>
      <c r="S119" s="46"/>
      <c r="T119" s="46"/>
    </row>
    <row r="120" spans="13:20" ht="15.6" x14ac:dyDescent="0.3">
      <c r="M120" s="52"/>
      <c r="N120" s="53"/>
      <c r="O120" s="55"/>
      <c r="P120" s="55"/>
      <c r="Q120" s="42"/>
      <c r="R120" s="56"/>
      <c r="S120" s="46"/>
      <c r="T120" s="46"/>
    </row>
    <row r="121" spans="13:20" ht="15.6" x14ac:dyDescent="0.3">
      <c r="M121" s="52"/>
      <c r="N121" s="53"/>
      <c r="O121" s="55"/>
      <c r="P121" s="55"/>
      <c r="Q121" s="42"/>
      <c r="R121" s="56"/>
      <c r="S121" s="46"/>
      <c r="T121" s="46"/>
    </row>
    <row r="122" spans="13:20" ht="15.6" x14ac:dyDescent="0.3">
      <c r="M122" s="52"/>
      <c r="N122" s="53"/>
      <c r="O122" s="55"/>
      <c r="P122" s="55"/>
      <c r="Q122" s="42"/>
      <c r="R122" s="56"/>
      <c r="S122" s="46"/>
      <c r="T122" s="46"/>
    </row>
    <row r="123" spans="13:20" ht="15.6" x14ac:dyDescent="0.3">
      <c r="M123" s="52"/>
      <c r="N123" s="53"/>
      <c r="O123" s="55"/>
      <c r="P123" s="54"/>
      <c r="Q123" s="42"/>
      <c r="R123" s="56"/>
      <c r="S123" s="46"/>
      <c r="T123" s="46"/>
    </row>
    <row r="124" spans="13:20" x14ac:dyDescent="0.3">
      <c r="O124" s="57"/>
      <c r="P124" s="109"/>
      <c r="Q124" s="42"/>
      <c r="R124" s="46"/>
      <c r="S124" s="46"/>
      <c r="T124" s="46"/>
    </row>
    <row r="125" spans="13:20" x14ac:dyDescent="0.3">
      <c r="M125" s="47"/>
      <c r="O125" s="42"/>
      <c r="P125" s="42"/>
      <c r="Q125" s="42"/>
      <c r="R125" s="46"/>
      <c r="S125" s="43"/>
      <c r="T125" s="43"/>
    </row>
    <row r="126" spans="13:20" ht="15.6" x14ac:dyDescent="0.3">
      <c r="M126" s="52"/>
      <c r="N126" s="53"/>
      <c r="O126" s="54"/>
      <c r="P126" s="55"/>
      <c r="Q126" s="42"/>
      <c r="R126" s="56"/>
      <c r="S126" s="46"/>
      <c r="T126" s="46"/>
    </row>
    <row r="127" spans="13:20" ht="15.6" x14ac:dyDescent="0.3">
      <c r="M127" s="52"/>
      <c r="N127" s="53"/>
      <c r="O127" s="55"/>
      <c r="P127" s="55"/>
      <c r="Q127" s="42"/>
      <c r="R127" s="56"/>
      <c r="S127" s="46"/>
      <c r="T127" s="46"/>
    </row>
    <row r="128" spans="13:20" ht="15.6" x14ac:dyDescent="0.3">
      <c r="M128" s="52"/>
      <c r="N128" s="53"/>
      <c r="O128" s="55"/>
      <c r="P128" s="55"/>
      <c r="Q128" s="42"/>
      <c r="R128" s="56"/>
      <c r="S128" s="46"/>
      <c r="T128" s="46"/>
    </row>
    <row r="129" spans="13:20" ht="15.6" x14ac:dyDescent="0.3">
      <c r="M129" s="52"/>
      <c r="N129" s="53"/>
      <c r="O129" s="55"/>
      <c r="P129" s="55"/>
      <c r="Q129" s="42"/>
      <c r="R129" s="56"/>
      <c r="S129" s="46"/>
      <c r="T129" s="46"/>
    </row>
    <row r="130" spans="13:20" ht="15.6" x14ac:dyDescent="0.3">
      <c r="M130" s="52"/>
      <c r="N130" s="53"/>
      <c r="O130" s="55"/>
      <c r="P130" s="55"/>
      <c r="Q130" s="42"/>
      <c r="R130" s="56"/>
      <c r="S130" s="46"/>
      <c r="T130" s="46"/>
    </row>
    <row r="131" spans="13:20" ht="15.6" x14ac:dyDescent="0.3">
      <c r="M131" s="52"/>
      <c r="N131" s="53"/>
      <c r="O131" s="55"/>
      <c r="P131" s="55"/>
      <c r="Q131" s="42"/>
      <c r="R131" s="56"/>
      <c r="S131" s="46"/>
      <c r="T131" s="46"/>
    </row>
    <row r="132" spans="13:20" ht="15.6" x14ac:dyDescent="0.3">
      <c r="M132" s="52"/>
      <c r="N132" s="53"/>
      <c r="O132" s="55"/>
      <c r="P132" s="55"/>
      <c r="Q132" s="42"/>
      <c r="R132" s="56"/>
      <c r="S132" s="46"/>
      <c r="T132" s="46"/>
    </row>
    <row r="133" spans="13:20" ht="15.6" x14ac:dyDescent="0.3">
      <c r="M133" s="52"/>
      <c r="N133" s="53"/>
      <c r="O133" s="55"/>
      <c r="P133" s="55"/>
      <c r="Q133" s="42"/>
      <c r="R133" s="56"/>
      <c r="S133" s="46"/>
      <c r="T133" s="46"/>
    </row>
    <row r="134" spans="13:20" ht="15.6" x14ac:dyDescent="0.3">
      <c r="M134" s="52"/>
      <c r="N134" s="53"/>
      <c r="O134" s="55"/>
      <c r="P134" s="54"/>
      <c r="Q134" s="42"/>
      <c r="R134" s="56"/>
      <c r="S134" s="46"/>
      <c r="T134" s="46"/>
    </row>
    <row r="135" spans="13:20" x14ac:dyDescent="0.3">
      <c r="O135" s="57"/>
      <c r="P135" s="109"/>
      <c r="Q135" s="42"/>
      <c r="R135" s="46"/>
      <c r="S135" s="46"/>
      <c r="T135" s="46"/>
    </row>
  </sheetData>
  <sheetProtection algorithmName="SHA-512" hashValue="5WL1Gd3iz6cXuo3nFoXb5TgVWcYD+MsE8SC2PURusM1gBbsZ5ze3T3jvSNa4EPYe4bInqfpLp6zzQ2XElZlQ5A==" saltValue="6hvlrWDTA9h7XC4wmI0V1w==" spinCount="100000" sheet="1" formatCells="0"/>
  <dataConsolidate/>
  <mergeCells count="13">
    <mergeCell ref="B43:C44"/>
    <mergeCell ref="D43:G43"/>
    <mergeCell ref="D44:G44"/>
    <mergeCell ref="B2:H2"/>
    <mergeCell ref="J2:J3"/>
    <mergeCell ref="B4:C4"/>
    <mergeCell ref="F4:G4"/>
    <mergeCell ref="J4:J10"/>
    <mergeCell ref="B5:C5"/>
    <mergeCell ref="F5:G5"/>
    <mergeCell ref="B6:C6"/>
    <mergeCell ref="F6:G6"/>
    <mergeCell ref="B7:C7"/>
  </mergeCells>
  <conditionalFormatting sqref="E10:E40">
    <cfRule type="expression" dxfId="5" priority="1">
      <formula>E10&gt;$D$5</formula>
    </cfRule>
  </conditionalFormatting>
  <dataValidations count="3">
    <dataValidation type="list" allowBlank="1" showInputMessage="1" showErrorMessage="1" sqref="E10:E40" xr:uid="{C3E15354-9AC0-4AC0-B86D-EE7B4F95A59B}">
      <formula1>$Z$10:$Z$21</formula1>
    </dataValidation>
    <dataValidation type="list" allowBlank="1" showInputMessage="1" showErrorMessage="1" sqref="B10:B40" xr:uid="{A051A543-25C6-407B-85B2-F7882D4D9003}">
      <formula1>$M$10:$M$18</formula1>
    </dataValidation>
    <dataValidation type="list" allowBlank="1" showInputMessage="1" showErrorMessage="1" sqref="D10:D40" xr:uid="{149761B7-85B2-42FD-A560-68FC4CE82A70}">
      <formula1>$AA$10:$AA$22</formula1>
    </dataValidation>
  </dataValidations>
  <pageMargins left="0.7" right="0.7" top="0.75" bottom="0.75" header="0.3" footer="0.3"/>
  <pageSetup orientation="portrait" horizontalDpi="300" verticalDpi="30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81F1D9-6784-45BC-A304-05EB10187BCA}">
  <dimension ref="A1:AA135"/>
  <sheetViews>
    <sheetView showGridLines="0" showRowColHeaders="0" zoomScaleNormal="100" workbookViewId="0"/>
  </sheetViews>
  <sheetFormatPr defaultColWidth="11.5546875" defaultRowHeight="14.4" x14ac:dyDescent="0.3"/>
  <cols>
    <col min="1" max="1" width="1.6640625" customWidth="1"/>
    <col min="2" max="2" width="36.33203125" customWidth="1"/>
    <col min="3" max="5" width="12.88671875" customWidth="1"/>
    <col min="6" max="8" width="19.21875" customWidth="1"/>
    <col min="9" max="9" width="2" customWidth="1"/>
    <col min="10" max="10" width="29.88671875" bestFit="1" customWidth="1"/>
    <col min="11" max="11" width="1.88671875" customWidth="1"/>
    <col min="12" max="12" width="5.109375" style="11" customWidth="1"/>
    <col min="13" max="13" width="37.109375" style="48" hidden="1" customWidth="1"/>
    <col min="14" max="14" width="10.6640625" style="21" hidden="1" customWidth="1"/>
    <col min="15" max="15" width="13.6640625" style="21" hidden="1" customWidth="1"/>
    <col min="16" max="16" width="11.44140625" style="21" hidden="1" customWidth="1"/>
    <col min="17" max="17" width="5.33203125" style="21" hidden="1" customWidth="1"/>
    <col min="18" max="18" width="11.44140625" style="4" hidden="1" customWidth="1"/>
    <col min="19" max="20" width="11.5546875" style="4" hidden="1" customWidth="1"/>
    <col min="21" max="21" width="11.5546875" style="18" hidden="1" customWidth="1"/>
    <col min="22" max="22" width="14.6640625" style="18" hidden="1" customWidth="1"/>
    <col min="23" max="23" width="11.5546875" style="18" hidden="1" customWidth="1"/>
    <col min="24" max="27" width="11.5546875" hidden="1" customWidth="1"/>
  </cols>
  <sheetData>
    <row r="1" spans="1:27" ht="9" customHeight="1" thickBot="1" x14ac:dyDescent="0.35">
      <c r="A1" s="24"/>
      <c r="B1" s="25"/>
      <c r="C1" s="25"/>
      <c r="D1" s="25"/>
      <c r="E1" s="25"/>
      <c r="F1" s="25"/>
      <c r="G1" s="25"/>
      <c r="H1" s="25"/>
      <c r="I1" s="25"/>
      <c r="J1" s="25"/>
      <c r="K1" s="26"/>
    </row>
    <row r="2" spans="1:27" ht="46.8" customHeight="1" thickBot="1" x14ac:dyDescent="0.35">
      <c r="A2" s="27"/>
      <c r="B2" s="121" t="s">
        <v>69</v>
      </c>
      <c r="C2" s="122"/>
      <c r="D2" s="122"/>
      <c r="E2" s="122"/>
      <c r="F2" s="122"/>
      <c r="G2" s="122"/>
      <c r="H2" s="123"/>
      <c r="I2" s="28"/>
      <c r="J2" s="116" t="s">
        <v>26</v>
      </c>
      <c r="K2" s="29"/>
    </row>
    <row r="3" spans="1:27" ht="10.5" customHeight="1" thickBot="1" x14ac:dyDescent="0.35">
      <c r="A3" s="27"/>
      <c r="B3" s="17"/>
      <c r="C3" s="17"/>
      <c r="D3" s="17"/>
      <c r="E3" s="17"/>
      <c r="F3" s="17"/>
      <c r="G3" s="17"/>
      <c r="H3" s="17"/>
      <c r="I3" s="17"/>
      <c r="J3" s="117"/>
      <c r="K3" s="29"/>
    </row>
    <row r="4" spans="1:27" ht="16.2" customHeight="1" thickBot="1" x14ac:dyDescent="0.35">
      <c r="A4" s="27"/>
      <c r="B4" s="136" t="s">
        <v>18</v>
      </c>
      <c r="C4" s="137"/>
      <c r="D4" s="22"/>
      <c r="E4" s="31"/>
      <c r="F4" s="140" t="s">
        <v>36</v>
      </c>
      <c r="G4" s="141"/>
      <c r="H4" s="19"/>
      <c r="I4" s="31" t="s">
        <v>27</v>
      </c>
      <c r="J4" s="118" t="s">
        <v>54</v>
      </c>
      <c r="K4" s="29"/>
    </row>
    <row r="5" spans="1:27" ht="48.6" customHeight="1" thickBot="1" x14ac:dyDescent="0.35">
      <c r="A5" s="27"/>
      <c r="B5" s="134" t="s">
        <v>35</v>
      </c>
      <c r="C5" s="135"/>
      <c r="D5" s="20"/>
      <c r="E5" s="113" t="s">
        <v>27</v>
      </c>
      <c r="F5" s="142" t="str">
        <f>"Producción de cajas en el período de los "&amp;D5&amp;" meses (expresadas en cajas de 18.14 kg):"</f>
        <v>Producción de cajas en el período de los  meses (expresadas en cajas de 18.14 kg):</v>
      </c>
      <c r="G5" s="143"/>
      <c r="H5" s="19"/>
      <c r="I5" s="31" t="s">
        <v>27</v>
      </c>
      <c r="J5" s="119"/>
      <c r="K5" s="29"/>
    </row>
    <row r="6" spans="1:27" ht="31.8" customHeight="1" thickBot="1" x14ac:dyDescent="0.35">
      <c r="A6" s="27"/>
      <c r="B6" s="138" t="str">
        <f>"Monto total del Premio Fairtrade recibido en el periodo de los "&amp;D5&amp;" meses (en "&amp;T9&amp;"/perido de "&amp;D5&amp;" meses) :"</f>
        <v>Monto total del Premio Fairtrade recibido en el periodo de los  meses (en pesos/perido de  meses) :</v>
      </c>
      <c r="C6" s="139"/>
      <c r="D6" s="20"/>
      <c r="E6" s="113" t="s">
        <v>27</v>
      </c>
      <c r="F6" s="138" t="str">
        <f>"Salario Digno de Referencia básico 2025 (en "&amp;T9&amp;"/mes) :"</f>
        <v>Salario Digno de Referencia básico 2025 (en pesos/mes) :</v>
      </c>
      <c r="G6" s="139"/>
      <c r="H6" s="99">
        <f>P18</f>
        <v>11819</v>
      </c>
      <c r="I6" s="30"/>
      <c r="J6" s="119"/>
      <c r="K6" s="29"/>
      <c r="M6" s="49"/>
      <c r="O6" s="50"/>
    </row>
    <row r="7" spans="1:27" ht="16.2" customHeight="1" thickBot="1" x14ac:dyDescent="0.35">
      <c r="A7" s="27"/>
      <c r="B7" s="144" t="str">
        <f>"Tipo de cambio (en "&amp;T9&amp;"/US dólar) :"</f>
        <v>Tipo de cambio (en pesos/US dólar) :</v>
      </c>
      <c r="C7" s="145"/>
      <c r="D7" s="19"/>
      <c r="E7" s="31"/>
      <c r="F7" s="114" t="s">
        <v>159</v>
      </c>
      <c r="G7" s="17"/>
      <c r="H7" s="17"/>
      <c r="I7" s="30"/>
      <c r="J7" s="119"/>
      <c r="K7" s="29"/>
      <c r="M7" s="49"/>
    </row>
    <row r="8" spans="1:27" ht="10.199999999999999" customHeight="1" thickBot="1" x14ac:dyDescent="0.35">
      <c r="A8" s="27"/>
      <c r="B8" s="32"/>
      <c r="C8" s="17"/>
      <c r="D8" s="17"/>
      <c r="E8" s="17"/>
      <c r="F8" s="17"/>
      <c r="G8" s="17"/>
      <c r="H8" s="17"/>
      <c r="I8" s="17"/>
      <c r="J8" s="119"/>
      <c r="K8" s="29"/>
      <c r="M8" s="51"/>
    </row>
    <row r="9" spans="1:27" ht="55.8" thickBot="1" x14ac:dyDescent="0.35">
      <c r="A9" s="27"/>
      <c r="B9" s="94" t="s">
        <v>43</v>
      </c>
      <c r="C9" s="94" t="s">
        <v>13</v>
      </c>
      <c r="D9" s="94" t="s">
        <v>12</v>
      </c>
      <c r="E9" s="95" t="str">
        <f>"# meses laborados en el periodo de "&amp;D5&amp;" meses"</f>
        <v># meses laborados en el periodo de  meses</v>
      </c>
      <c r="F9" s="96" t="s">
        <v>47</v>
      </c>
      <c r="G9" s="97" t="str">
        <f>"Brecha Salarial/ período de "&amp;D5&amp;" meses"</f>
        <v>Brecha Salarial/ período de  meses</v>
      </c>
      <c r="H9" s="98" t="str">
        <f>"Premio Fairtrade a distribuir, in "&amp;T9&amp;"/mes/trabajador"</f>
        <v>Premio Fairtrade a distribuir, in pesos/mes/trabajador</v>
      </c>
      <c r="I9" s="33"/>
      <c r="J9" s="119"/>
      <c r="K9" s="34"/>
      <c r="M9" s="47" t="s">
        <v>10</v>
      </c>
      <c r="N9" s="21" t="s">
        <v>3</v>
      </c>
      <c r="O9" s="42" t="s">
        <v>31</v>
      </c>
      <c r="P9" s="42" t="s">
        <v>32</v>
      </c>
      <c r="Q9" s="42"/>
      <c r="R9" s="46"/>
      <c r="S9" s="43" t="s">
        <v>20</v>
      </c>
      <c r="T9" s="46" t="s">
        <v>25</v>
      </c>
      <c r="V9" s="21" t="s">
        <v>17</v>
      </c>
      <c r="W9" s="21"/>
      <c r="X9" s="21" t="s">
        <v>2</v>
      </c>
      <c r="Y9" s="4"/>
      <c r="Z9" s="21" t="s">
        <v>33</v>
      </c>
      <c r="AA9" s="21" t="s">
        <v>34</v>
      </c>
    </row>
    <row r="10" spans="1:27" ht="16.5" customHeight="1" thickBot="1" x14ac:dyDescent="0.35">
      <c r="A10" s="27"/>
      <c r="B10" s="13" t="s">
        <v>107</v>
      </c>
      <c r="C10" s="1"/>
      <c r="D10" s="6"/>
      <c r="E10" s="5"/>
      <c r="F10" s="105">
        <f t="shared" ref="F10:F40" si="0">C10*D10/daysperweek</f>
        <v>0</v>
      </c>
      <c r="G10" s="106">
        <f t="shared" ref="G10:G40" si="1">IF(LWgap&gt;maxFP30,maxFP30*W10,V10)</f>
        <v>0</v>
      </c>
      <c r="H10" s="107">
        <f>IFERROR(G10/C10,0)</f>
        <v>0</v>
      </c>
      <c r="I10" s="35"/>
      <c r="J10" s="120"/>
      <c r="K10" s="29"/>
      <c r="L10" s="8"/>
      <c r="M10" s="52" t="str">
        <f>"Entre  "&amp;O10&amp;"  y  "&amp;P10&amp;"  "&amp;S9</f>
        <v>Entre  8273  y  8699  pesos/mes</v>
      </c>
      <c r="N10" s="53">
        <f t="shared" ref="N10:N18" si="2">AVERAGE(O10:P10)</f>
        <v>8486</v>
      </c>
      <c r="O10" s="54">
        <v>8273</v>
      </c>
      <c r="P10" s="55">
        <f>ROUND(O10+O19,P19)-1</f>
        <v>8699</v>
      </c>
      <c r="Q10" s="42"/>
      <c r="R10" s="56">
        <f>P10-O10</f>
        <v>426</v>
      </c>
      <c r="S10" s="46"/>
      <c r="T10" s="46"/>
      <c r="V10" s="15">
        <f>IFERROR((basicLWB-VLOOKUP(B10,$M$10:$N$18,2,FALSE))*E10*F10,0)</f>
        <v>0</v>
      </c>
      <c r="W10" s="12" t="e">
        <f>V10/LWgap</f>
        <v>#DIV/0!</v>
      </c>
      <c r="X10" s="11">
        <v>1</v>
      </c>
      <c r="Y10" s="4" t="b">
        <f t="shared" ref="Y10:Y21" si="3">IF(X10&lt;=$D$5,X10,0)&lt;&gt;0</f>
        <v>0</v>
      </c>
      <c r="Z10" s="4" cm="1">
        <f t="array" ref="Z10">IFERROR(_xlfn.XLOOKUP(TRUE,Y10:$Y$21,X10:$X$21),0)</f>
        <v>0</v>
      </c>
      <c r="AA10" s="10">
        <v>6</v>
      </c>
    </row>
    <row r="11" spans="1:27" ht="16.5" customHeight="1" x14ac:dyDescent="0.3">
      <c r="A11" s="27"/>
      <c r="B11" s="13" t="s">
        <v>108</v>
      </c>
      <c r="C11" s="2"/>
      <c r="D11" s="7"/>
      <c r="E11" s="5"/>
      <c r="F11" s="105">
        <f t="shared" si="0"/>
        <v>0</v>
      </c>
      <c r="G11" s="106">
        <f t="shared" si="1"/>
        <v>0</v>
      </c>
      <c r="H11" s="107">
        <f t="shared" ref="H11:H40" si="4">IFERROR(G11/C11,0)</f>
        <v>0</v>
      </c>
      <c r="I11" s="35"/>
      <c r="J11" s="44"/>
      <c r="K11" s="29"/>
      <c r="L11" s="8"/>
      <c r="M11" s="52" t="str">
        <f>"Entre  "&amp;O11&amp;"  y  "&amp;P11&amp;"  "&amp;S9</f>
        <v>Entre  8700  y  9099  pesos/mes</v>
      </c>
      <c r="N11" s="53">
        <f t="shared" si="2"/>
        <v>8899.5</v>
      </c>
      <c r="O11" s="55">
        <f t="shared" ref="O11:O18" si="5">P10+1</f>
        <v>8700</v>
      </c>
      <c r="P11" s="55">
        <f>ROUND(P10+O19,P19)-1</f>
        <v>9099</v>
      </c>
      <c r="Q11" s="42"/>
      <c r="R11" s="56">
        <f t="shared" ref="R11:R18" si="6">P11-P10</f>
        <v>400</v>
      </c>
      <c r="S11" s="46"/>
      <c r="T11" s="46"/>
      <c r="V11" s="15">
        <f>IFERROR((basicLWB-VLOOKUP(B11,$M$10:$N$18,2,FALSE))*E11*F11,0)</f>
        <v>0</v>
      </c>
      <c r="W11" s="12" t="e">
        <f t="shared" ref="W11:W33" si="7">+V11/LWgap</f>
        <v>#DIV/0!</v>
      </c>
      <c r="X11" s="11">
        <v>2</v>
      </c>
      <c r="Y11" s="4" t="b">
        <f t="shared" si="3"/>
        <v>0</v>
      </c>
      <c r="Z11" s="4" cm="1">
        <f t="array" ref="Z11">IFERROR(_xlfn.XLOOKUP(TRUE,Y11:$Y$21,X11:$X$21),0)</f>
        <v>0</v>
      </c>
      <c r="AA11" s="10">
        <v>5.5</v>
      </c>
    </row>
    <row r="12" spans="1:27" ht="16.5" customHeight="1" x14ac:dyDescent="0.3">
      <c r="A12" s="27"/>
      <c r="B12" s="13" t="s">
        <v>109</v>
      </c>
      <c r="C12" s="2"/>
      <c r="D12" s="7"/>
      <c r="E12" s="5"/>
      <c r="F12" s="105">
        <f t="shared" si="0"/>
        <v>0</v>
      </c>
      <c r="G12" s="106">
        <f t="shared" si="1"/>
        <v>0</v>
      </c>
      <c r="H12" s="107">
        <f t="shared" si="4"/>
        <v>0</v>
      </c>
      <c r="I12" s="35"/>
      <c r="J12" s="36"/>
      <c r="K12" s="29"/>
      <c r="L12" s="8"/>
      <c r="M12" s="52" t="str">
        <f>"Entre  "&amp;O12&amp;"  y  "&amp;P12&amp;"  "&amp;S9</f>
        <v>Entre  9100  y  9499  pesos/mes</v>
      </c>
      <c r="N12" s="53">
        <f t="shared" si="2"/>
        <v>9299.5</v>
      </c>
      <c r="O12" s="55">
        <f t="shared" si="5"/>
        <v>9100</v>
      </c>
      <c r="P12" s="55">
        <f>ROUND(P11+O19,P19)-1</f>
        <v>9499</v>
      </c>
      <c r="Q12" s="42"/>
      <c r="R12" s="56">
        <f t="shared" si="6"/>
        <v>400</v>
      </c>
      <c r="S12" s="46"/>
      <c r="T12" s="46"/>
      <c r="V12" s="15">
        <f>IFERROR((basicLWB-VLOOKUP(B12,$M$10:$N$18,2,FALSE))*E12*F12,0)</f>
        <v>0</v>
      </c>
      <c r="W12" s="12" t="e">
        <f t="shared" si="7"/>
        <v>#DIV/0!</v>
      </c>
      <c r="X12" s="11">
        <v>3</v>
      </c>
      <c r="Y12" s="4" t="b">
        <f t="shared" si="3"/>
        <v>0</v>
      </c>
      <c r="Z12" s="4" cm="1">
        <f t="array" ref="Z12">IFERROR(_xlfn.XLOOKUP(TRUE,Y12:$Y$21,X12:$X$21),0)</f>
        <v>0</v>
      </c>
      <c r="AA12" s="10">
        <v>5</v>
      </c>
    </row>
    <row r="13" spans="1:27" ht="16.5" customHeight="1" x14ac:dyDescent="0.3">
      <c r="A13" s="27"/>
      <c r="B13" s="13" t="s">
        <v>110</v>
      </c>
      <c r="C13" s="2"/>
      <c r="D13" s="7"/>
      <c r="E13" s="5"/>
      <c r="F13" s="105">
        <f t="shared" si="0"/>
        <v>0</v>
      </c>
      <c r="G13" s="106">
        <f t="shared" si="1"/>
        <v>0</v>
      </c>
      <c r="H13" s="107">
        <f t="shared" si="4"/>
        <v>0</v>
      </c>
      <c r="I13" s="35"/>
      <c r="J13" s="36"/>
      <c r="K13" s="29"/>
      <c r="L13" s="8"/>
      <c r="M13" s="52" t="str">
        <f>"Entre  "&amp;O13&amp;"  y  "&amp;P13&amp;"  "&amp;S9</f>
        <v>Entre  9500  y  9899  pesos/mes</v>
      </c>
      <c r="N13" s="53">
        <f t="shared" si="2"/>
        <v>9699.5</v>
      </c>
      <c r="O13" s="55">
        <f t="shared" si="5"/>
        <v>9500</v>
      </c>
      <c r="P13" s="55">
        <f>ROUND(P12+O19,P19)-1</f>
        <v>9899</v>
      </c>
      <c r="Q13" s="42"/>
      <c r="R13" s="56">
        <f t="shared" si="6"/>
        <v>400</v>
      </c>
      <c r="S13" s="46"/>
      <c r="T13" s="46"/>
      <c r="V13" s="15">
        <f>IFERROR((basicLWB-VLOOKUP(B13,$M$10:$N$18,2,FALSE))*E13*F13,0)</f>
        <v>0</v>
      </c>
      <c r="W13" s="12" t="e">
        <f t="shared" si="7"/>
        <v>#DIV/0!</v>
      </c>
      <c r="X13" s="11">
        <v>4</v>
      </c>
      <c r="Y13" s="4" t="b">
        <f t="shared" si="3"/>
        <v>0</v>
      </c>
      <c r="Z13" s="4" cm="1">
        <f t="array" ref="Z13">IFERROR(_xlfn.XLOOKUP(TRUE,Y13:$Y$21,X13:$X$21),0)</f>
        <v>0</v>
      </c>
      <c r="AA13" s="10">
        <v>4.5</v>
      </c>
    </row>
    <row r="14" spans="1:27" ht="16.5" customHeight="1" x14ac:dyDescent="0.3">
      <c r="A14" s="27"/>
      <c r="B14" s="13" t="s">
        <v>111</v>
      </c>
      <c r="C14" s="2"/>
      <c r="D14" s="7"/>
      <c r="E14" s="5"/>
      <c r="F14" s="105">
        <f t="shared" si="0"/>
        <v>0</v>
      </c>
      <c r="G14" s="106">
        <f t="shared" si="1"/>
        <v>0</v>
      </c>
      <c r="H14" s="107">
        <f t="shared" si="4"/>
        <v>0</v>
      </c>
      <c r="I14" s="35"/>
      <c r="J14" s="36"/>
      <c r="K14" s="29"/>
      <c r="L14" s="8"/>
      <c r="M14" s="52" t="str">
        <f>"Entre  "&amp;O14&amp;"  y  "&amp;P14&amp;"  "&amp;S9</f>
        <v>Entre  9900  y  10299  pesos/mes</v>
      </c>
      <c r="N14" s="53">
        <f t="shared" si="2"/>
        <v>10099.5</v>
      </c>
      <c r="O14" s="55">
        <f t="shared" si="5"/>
        <v>9900</v>
      </c>
      <c r="P14" s="55">
        <f>ROUND(P13+O19,P19)-1</f>
        <v>10299</v>
      </c>
      <c r="Q14" s="42"/>
      <c r="R14" s="56">
        <f t="shared" si="6"/>
        <v>400</v>
      </c>
      <c r="S14" s="46"/>
      <c r="T14" s="46"/>
      <c r="V14" s="15">
        <f>IFERROR((basicLWB-VLOOKUP(B14,$M$10:$N$18,2,FALSE))*E14*F14,0)</f>
        <v>0</v>
      </c>
      <c r="W14" s="12" t="e">
        <f t="shared" si="7"/>
        <v>#DIV/0!</v>
      </c>
      <c r="X14" s="11">
        <v>5</v>
      </c>
      <c r="Y14" s="4" t="b">
        <f t="shared" si="3"/>
        <v>0</v>
      </c>
      <c r="Z14" s="4" cm="1">
        <f t="array" ref="Z14">IFERROR(_xlfn.XLOOKUP(TRUE,Y14:$Y$21,X14:$X$21),0)</f>
        <v>0</v>
      </c>
      <c r="AA14" s="10">
        <v>4</v>
      </c>
    </row>
    <row r="15" spans="1:27" ht="16.5" customHeight="1" x14ac:dyDescent="0.3">
      <c r="A15" s="27"/>
      <c r="B15" s="13" t="s">
        <v>112</v>
      </c>
      <c r="C15" s="2"/>
      <c r="D15" s="7"/>
      <c r="E15" s="5"/>
      <c r="F15" s="105">
        <f t="shared" si="0"/>
        <v>0</v>
      </c>
      <c r="G15" s="106">
        <f t="shared" si="1"/>
        <v>0</v>
      </c>
      <c r="H15" s="107">
        <f t="shared" si="4"/>
        <v>0</v>
      </c>
      <c r="I15" s="35"/>
      <c r="J15" s="36"/>
      <c r="K15" s="29"/>
      <c r="L15" s="8"/>
      <c r="M15" s="52" t="str">
        <f>"Entre  "&amp;O15&amp;"  y  "&amp;P15&amp;"  "&amp;S9</f>
        <v>Entre  10300  y  10699  pesos/mes</v>
      </c>
      <c r="N15" s="53">
        <f t="shared" si="2"/>
        <v>10499.5</v>
      </c>
      <c r="O15" s="55">
        <f t="shared" si="5"/>
        <v>10300</v>
      </c>
      <c r="P15" s="55">
        <f>ROUND(P14+O19,P19)-1</f>
        <v>10699</v>
      </c>
      <c r="Q15" s="42"/>
      <c r="R15" s="56">
        <f t="shared" si="6"/>
        <v>400</v>
      </c>
      <c r="S15" s="46"/>
      <c r="T15" s="46"/>
      <c r="V15" s="15">
        <f>IFERROR((basicLWB-VLOOKUP(B15,$M$10:$N$18,2,FALSE))*E15*F15,0)</f>
        <v>0</v>
      </c>
      <c r="W15" s="12" t="e">
        <f t="shared" si="7"/>
        <v>#DIV/0!</v>
      </c>
      <c r="X15" s="11">
        <v>6</v>
      </c>
      <c r="Y15" s="4" t="b">
        <f t="shared" si="3"/>
        <v>0</v>
      </c>
      <c r="Z15" s="4" cm="1">
        <f t="array" ref="Z15">IFERROR(_xlfn.XLOOKUP(TRUE,Y15:$Y$21,X15:$X$21),0)</f>
        <v>0</v>
      </c>
      <c r="AA15" s="10">
        <v>3.5</v>
      </c>
    </row>
    <row r="16" spans="1:27" ht="16.5" customHeight="1" x14ac:dyDescent="0.3">
      <c r="A16" s="27"/>
      <c r="B16" s="13" t="s">
        <v>113</v>
      </c>
      <c r="C16" s="2"/>
      <c r="D16" s="7"/>
      <c r="E16" s="5"/>
      <c r="F16" s="105">
        <f t="shared" si="0"/>
        <v>0</v>
      </c>
      <c r="G16" s="106">
        <f t="shared" si="1"/>
        <v>0</v>
      </c>
      <c r="H16" s="107">
        <f t="shared" si="4"/>
        <v>0</v>
      </c>
      <c r="I16" s="35"/>
      <c r="J16" s="36"/>
      <c r="K16" s="29"/>
      <c r="L16" s="8"/>
      <c r="M16" s="52" t="str">
        <f>"Entre  "&amp;O16&amp;"  y  "&amp;P16&amp;"  "&amp;S9</f>
        <v>Entre  10700  y  11099  pesos/mes</v>
      </c>
      <c r="N16" s="53">
        <f t="shared" si="2"/>
        <v>10899.5</v>
      </c>
      <c r="O16" s="55">
        <f t="shared" si="5"/>
        <v>10700</v>
      </c>
      <c r="P16" s="55">
        <f>ROUND(P15+O19,P19)-1</f>
        <v>11099</v>
      </c>
      <c r="Q16" s="42"/>
      <c r="R16" s="56">
        <f t="shared" si="6"/>
        <v>400</v>
      </c>
      <c r="S16" s="46"/>
      <c r="T16" s="46"/>
      <c r="V16" s="15">
        <f>IFERROR((basicLWB-VLOOKUP(B16,$M$10:$N$18,2,FALSE))*E16*F16,0)</f>
        <v>0</v>
      </c>
      <c r="W16" s="12" t="e">
        <f t="shared" si="7"/>
        <v>#DIV/0!</v>
      </c>
      <c r="X16" s="11">
        <v>7</v>
      </c>
      <c r="Y16" s="4" t="b">
        <f t="shared" si="3"/>
        <v>0</v>
      </c>
      <c r="Z16" s="4" cm="1">
        <f t="array" ref="Z16">IFERROR(_xlfn.XLOOKUP(TRUE,Y16:$Y$21,X16:$X$21),0)</f>
        <v>0</v>
      </c>
      <c r="AA16" s="10">
        <v>3</v>
      </c>
    </row>
    <row r="17" spans="1:27" ht="16.5" customHeight="1" x14ac:dyDescent="0.3">
      <c r="A17" s="27"/>
      <c r="B17" s="13" t="s">
        <v>114</v>
      </c>
      <c r="C17" s="2"/>
      <c r="D17" s="7"/>
      <c r="E17" s="5"/>
      <c r="F17" s="105">
        <f t="shared" si="0"/>
        <v>0</v>
      </c>
      <c r="G17" s="106">
        <f t="shared" si="1"/>
        <v>0</v>
      </c>
      <c r="H17" s="107">
        <f t="shared" si="4"/>
        <v>0</v>
      </c>
      <c r="I17" s="35"/>
      <c r="J17" s="36"/>
      <c r="K17" s="29"/>
      <c r="L17" s="8"/>
      <c r="M17" s="52" t="str">
        <f>"Entre  "&amp;O17&amp;"  y  "&amp;P17&amp;"  "&amp;S9</f>
        <v>Entre  11100  y  11499  pesos/mes</v>
      </c>
      <c r="N17" s="53">
        <f t="shared" si="2"/>
        <v>11299.5</v>
      </c>
      <c r="O17" s="55">
        <f t="shared" si="5"/>
        <v>11100</v>
      </c>
      <c r="P17" s="55">
        <f>ROUND(P16+O19,P19)-1</f>
        <v>11499</v>
      </c>
      <c r="Q17" s="42"/>
      <c r="R17" s="56">
        <f t="shared" si="6"/>
        <v>400</v>
      </c>
      <c r="S17" s="46"/>
      <c r="T17" s="46"/>
      <c r="V17" s="15">
        <f>IFERROR((basicLWB-VLOOKUP(B17,$M$10:$N$18,2,FALSE))*E17*F17,0)</f>
        <v>0</v>
      </c>
      <c r="W17" s="12" t="e">
        <f t="shared" si="7"/>
        <v>#DIV/0!</v>
      </c>
      <c r="X17" s="11">
        <v>8</v>
      </c>
      <c r="Y17" s="4" t="b">
        <f t="shared" si="3"/>
        <v>0</v>
      </c>
      <c r="Z17" s="4" cm="1">
        <f t="array" ref="Z17">IFERROR(_xlfn.XLOOKUP(TRUE,Y17:$Y$21,X17:$X$21),0)</f>
        <v>0</v>
      </c>
      <c r="AA17" s="10">
        <v>3.5</v>
      </c>
    </row>
    <row r="18" spans="1:27" ht="16.5" customHeight="1" x14ac:dyDescent="0.3">
      <c r="A18" s="27"/>
      <c r="B18" s="13" t="s">
        <v>115</v>
      </c>
      <c r="C18" s="2"/>
      <c r="D18" s="7"/>
      <c r="E18" s="5"/>
      <c r="F18" s="105">
        <f t="shared" si="0"/>
        <v>0</v>
      </c>
      <c r="G18" s="106">
        <f t="shared" si="1"/>
        <v>0</v>
      </c>
      <c r="H18" s="107">
        <f t="shared" si="4"/>
        <v>0</v>
      </c>
      <c r="I18" s="35"/>
      <c r="J18" s="36"/>
      <c r="K18" s="29"/>
      <c r="L18" s="8"/>
      <c r="M18" s="52" t="str">
        <f>"Entre  "&amp;O18&amp;"  y  "&amp;P18&amp;"  "&amp;S9</f>
        <v>Entre  11500  y  11819  pesos/mes</v>
      </c>
      <c r="N18" s="53">
        <f t="shared" si="2"/>
        <v>11659.5</v>
      </c>
      <c r="O18" s="55">
        <f t="shared" si="5"/>
        <v>11500</v>
      </c>
      <c r="P18" s="54">
        <v>11819</v>
      </c>
      <c r="Q18" s="42"/>
      <c r="R18" s="56">
        <f t="shared" si="6"/>
        <v>320</v>
      </c>
      <c r="S18" s="46"/>
      <c r="T18" s="46"/>
      <c r="V18" s="15">
        <f>IFERROR((basicLWB-VLOOKUP(B18,$M$10:$N$18,2,FALSE))*E18*F18,0)</f>
        <v>0</v>
      </c>
      <c r="W18" s="12" t="e">
        <f t="shared" si="7"/>
        <v>#DIV/0!</v>
      </c>
      <c r="X18" s="11">
        <v>9</v>
      </c>
      <c r="Y18" s="4" t="b">
        <f t="shared" si="3"/>
        <v>0</v>
      </c>
      <c r="Z18" s="4" cm="1">
        <f t="array" ref="Z18">IFERROR(_xlfn.XLOOKUP(TRUE,Y18:$Y$21,X18:$X$21),0)</f>
        <v>0</v>
      </c>
      <c r="AA18" s="10">
        <v>3</v>
      </c>
    </row>
    <row r="19" spans="1:27" ht="16.5" customHeight="1" x14ac:dyDescent="0.3">
      <c r="A19" s="27"/>
      <c r="B19" s="13"/>
      <c r="C19" s="2"/>
      <c r="D19" s="7"/>
      <c r="E19" s="5"/>
      <c r="F19" s="105">
        <f t="shared" si="0"/>
        <v>0</v>
      </c>
      <c r="G19" s="106">
        <f t="shared" si="1"/>
        <v>0</v>
      </c>
      <c r="H19" s="107">
        <f t="shared" si="4"/>
        <v>0</v>
      </c>
      <c r="I19" s="35"/>
      <c r="J19" s="36"/>
      <c r="K19" s="29"/>
      <c r="L19" s="8"/>
      <c r="M19" s="52"/>
      <c r="N19" s="21">
        <v>6</v>
      </c>
      <c r="O19" s="57">
        <f>ROUND((P18-O10)/9,P19)</f>
        <v>400</v>
      </c>
      <c r="P19" s="58">
        <v>-2</v>
      </c>
      <c r="Q19" s="42"/>
      <c r="R19" s="46"/>
      <c r="S19" s="46"/>
      <c r="T19" s="46"/>
      <c r="V19" s="15">
        <f>IFERROR((basicLWB-VLOOKUP(B19,$M$10:$N$18,2,FALSE))*E19*F19,0)</f>
        <v>0</v>
      </c>
      <c r="W19" s="12" t="e">
        <f t="shared" si="7"/>
        <v>#DIV/0!</v>
      </c>
      <c r="X19" s="11">
        <v>10</v>
      </c>
      <c r="Y19" s="4" t="b">
        <f t="shared" si="3"/>
        <v>0</v>
      </c>
      <c r="Z19" s="4" cm="1">
        <f t="array" ref="Z19">IFERROR(_xlfn.XLOOKUP(TRUE,Y19:$Y$21,X19:$X$21),0)</f>
        <v>0</v>
      </c>
      <c r="AA19" s="10">
        <v>2.5</v>
      </c>
    </row>
    <row r="20" spans="1:27" ht="16.5" customHeight="1" x14ac:dyDescent="0.3">
      <c r="A20" s="27"/>
      <c r="B20" s="13"/>
      <c r="C20" s="2"/>
      <c r="D20" s="7"/>
      <c r="E20" s="5"/>
      <c r="F20" s="105">
        <f t="shared" si="0"/>
        <v>0</v>
      </c>
      <c r="G20" s="106">
        <f t="shared" si="1"/>
        <v>0</v>
      </c>
      <c r="H20" s="107">
        <f t="shared" si="4"/>
        <v>0</v>
      </c>
      <c r="I20" s="35"/>
      <c r="J20" s="36"/>
      <c r="K20" s="29"/>
      <c r="N20" s="50"/>
      <c r="O20" s="18"/>
      <c r="P20" s="18"/>
      <c r="Q20" s="18"/>
      <c r="R20"/>
      <c r="S20"/>
      <c r="T20"/>
      <c r="V20" s="15">
        <f>IFERROR((basicLWB-VLOOKUP(B20,$M$10:$N$18,2,FALSE))*E20*F20,0)</f>
        <v>0</v>
      </c>
      <c r="W20" s="12" t="e">
        <f t="shared" si="7"/>
        <v>#DIV/0!</v>
      </c>
      <c r="X20" s="11">
        <v>11</v>
      </c>
      <c r="Y20" s="4" t="b">
        <f t="shared" si="3"/>
        <v>0</v>
      </c>
      <c r="Z20" s="4" cm="1">
        <f t="array" ref="Z20">IFERROR(_xlfn.XLOOKUP(TRUE,Y20:$Y$21,X20:$X$21),0)</f>
        <v>0</v>
      </c>
      <c r="AA20" s="10">
        <v>2</v>
      </c>
    </row>
    <row r="21" spans="1:27" ht="16.5" customHeight="1" x14ac:dyDescent="0.3">
      <c r="A21" s="27"/>
      <c r="B21" s="13"/>
      <c r="C21" s="3"/>
      <c r="D21" s="7"/>
      <c r="E21" s="5"/>
      <c r="F21" s="105">
        <f t="shared" si="0"/>
        <v>0</v>
      </c>
      <c r="G21" s="106">
        <f t="shared" si="1"/>
        <v>0</v>
      </c>
      <c r="H21" s="107">
        <f t="shared" si="4"/>
        <v>0</v>
      </c>
      <c r="I21" s="35"/>
      <c r="J21" s="36"/>
      <c r="K21" s="29"/>
      <c r="N21" s="50"/>
      <c r="O21" s="18"/>
      <c r="P21" s="18"/>
      <c r="Q21" s="18"/>
      <c r="R21"/>
      <c r="S21"/>
      <c r="T21"/>
      <c r="V21" s="15">
        <f>IFERROR((basicLWB-VLOOKUP(B21,$M$10:$N$18,2,FALSE))*E21*F21,0)</f>
        <v>0</v>
      </c>
      <c r="W21" s="12" t="e">
        <f t="shared" si="7"/>
        <v>#DIV/0!</v>
      </c>
      <c r="X21" s="11">
        <v>12</v>
      </c>
      <c r="Y21" s="4" t="b">
        <f t="shared" si="3"/>
        <v>0</v>
      </c>
      <c r="Z21" s="4" cm="1">
        <f t="array" ref="Z21">IFERROR(_xlfn.XLOOKUP(TRUE,Y21:$Y$21,X21:$X$21),0)</f>
        <v>0</v>
      </c>
      <c r="AA21" s="10">
        <v>1.5</v>
      </c>
    </row>
    <row r="22" spans="1:27" ht="16.5" customHeight="1" x14ac:dyDescent="0.3">
      <c r="A22" s="27"/>
      <c r="B22" s="13"/>
      <c r="C22" s="3"/>
      <c r="D22" s="7"/>
      <c r="E22" s="5"/>
      <c r="F22" s="105">
        <f t="shared" si="0"/>
        <v>0</v>
      </c>
      <c r="G22" s="106">
        <f t="shared" si="1"/>
        <v>0</v>
      </c>
      <c r="H22" s="107">
        <f t="shared" si="4"/>
        <v>0</v>
      </c>
      <c r="I22" s="35"/>
      <c r="J22" s="36"/>
      <c r="K22" s="29"/>
      <c r="N22" s="50"/>
      <c r="O22" s="18"/>
      <c r="P22" s="18"/>
      <c r="Q22" s="18"/>
      <c r="R22"/>
      <c r="S22"/>
      <c r="T22"/>
      <c r="V22" s="15">
        <f>IFERROR((basicLWB-VLOOKUP(B22,$M$10:$N$18,2,FALSE))*E22*F22,0)</f>
        <v>0</v>
      </c>
      <c r="W22" s="12" t="e">
        <f t="shared" si="7"/>
        <v>#DIV/0!</v>
      </c>
      <c r="X22" s="11"/>
      <c r="Y22" s="4"/>
      <c r="Z22" s="4"/>
      <c r="AA22" s="11">
        <v>1</v>
      </c>
    </row>
    <row r="23" spans="1:27" ht="16.5" customHeight="1" x14ac:dyDescent="0.3">
      <c r="A23" s="27"/>
      <c r="B23" s="13"/>
      <c r="C23" s="3"/>
      <c r="D23" s="7"/>
      <c r="E23" s="5"/>
      <c r="F23" s="105">
        <f t="shared" si="0"/>
        <v>0</v>
      </c>
      <c r="G23" s="106">
        <f t="shared" si="1"/>
        <v>0</v>
      </c>
      <c r="H23" s="107">
        <f t="shared" si="4"/>
        <v>0</v>
      </c>
      <c r="I23" s="35"/>
      <c r="J23" s="36"/>
      <c r="K23" s="29"/>
      <c r="N23" s="50"/>
      <c r="O23" s="18"/>
      <c r="P23" s="18"/>
      <c r="Q23" s="18"/>
      <c r="R23"/>
      <c r="S23"/>
      <c r="T23"/>
      <c r="V23" s="15">
        <f>IFERROR((basicLWB-VLOOKUP(B23,$M$10:$N$18,2,FALSE))*E23*F23,0)</f>
        <v>0</v>
      </c>
      <c r="W23" s="12" t="e">
        <f t="shared" si="7"/>
        <v>#DIV/0!</v>
      </c>
      <c r="X23" s="11"/>
      <c r="Y23" s="4"/>
      <c r="Z23" s="4"/>
      <c r="AA23" s="4"/>
    </row>
    <row r="24" spans="1:27" ht="16.5" customHeight="1" x14ac:dyDescent="0.3">
      <c r="A24" s="27"/>
      <c r="B24" s="13"/>
      <c r="C24" s="3"/>
      <c r="D24" s="7"/>
      <c r="E24" s="5"/>
      <c r="F24" s="105">
        <f t="shared" si="0"/>
        <v>0</v>
      </c>
      <c r="G24" s="106">
        <f t="shared" si="1"/>
        <v>0</v>
      </c>
      <c r="H24" s="107">
        <f t="shared" si="4"/>
        <v>0</v>
      </c>
      <c r="I24" s="35"/>
      <c r="J24" s="36"/>
      <c r="K24" s="29"/>
      <c r="N24" s="50"/>
      <c r="O24" s="18"/>
      <c r="P24" s="18"/>
      <c r="Q24" s="18"/>
      <c r="R24"/>
      <c r="S24"/>
      <c r="T24"/>
      <c r="V24" s="15">
        <f>IFERROR((basicLWB-VLOOKUP(B24,$M$10:$N$18,2,FALSE))*E24*F24,0)</f>
        <v>0</v>
      </c>
      <c r="W24" s="12" t="e">
        <f t="shared" si="7"/>
        <v>#DIV/0!</v>
      </c>
      <c r="X24" s="11"/>
      <c r="Y24" s="4"/>
      <c r="Z24" s="4"/>
      <c r="AA24" s="4"/>
    </row>
    <row r="25" spans="1:27" ht="16.5" customHeight="1" x14ac:dyDescent="0.3">
      <c r="A25" s="27"/>
      <c r="B25" s="13"/>
      <c r="C25" s="3"/>
      <c r="D25" s="7"/>
      <c r="E25" s="5"/>
      <c r="F25" s="105">
        <f t="shared" si="0"/>
        <v>0</v>
      </c>
      <c r="G25" s="106">
        <f t="shared" si="1"/>
        <v>0</v>
      </c>
      <c r="H25" s="107">
        <f t="shared" si="4"/>
        <v>0</v>
      </c>
      <c r="I25" s="35"/>
      <c r="J25" s="36"/>
      <c r="K25" s="29"/>
      <c r="N25" s="50"/>
      <c r="O25" s="18"/>
      <c r="P25" s="18"/>
      <c r="Q25" s="18"/>
      <c r="R25"/>
      <c r="S25"/>
      <c r="T25"/>
      <c r="V25" s="15">
        <f>IFERROR((basicLWB-VLOOKUP(B25,$M$10:$N$18,2,FALSE))*E25*F25,0)</f>
        <v>0</v>
      </c>
      <c r="W25" s="12" t="e">
        <f t="shared" si="7"/>
        <v>#DIV/0!</v>
      </c>
      <c r="X25" s="11"/>
      <c r="Y25" s="4"/>
      <c r="Z25" s="4"/>
      <c r="AA25" s="4"/>
    </row>
    <row r="26" spans="1:27" ht="16.5" customHeight="1" x14ac:dyDescent="0.3">
      <c r="A26" s="27"/>
      <c r="B26" s="13"/>
      <c r="C26" s="3"/>
      <c r="D26" s="7"/>
      <c r="E26" s="5"/>
      <c r="F26" s="105">
        <f t="shared" si="0"/>
        <v>0</v>
      </c>
      <c r="G26" s="106">
        <f t="shared" si="1"/>
        <v>0</v>
      </c>
      <c r="H26" s="107">
        <f t="shared" si="4"/>
        <v>0</v>
      </c>
      <c r="I26" s="35"/>
      <c r="J26" s="36"/>
      <c r="K26" s="29"/>
      <c r="N26" s="50"/>
      <c r="O26" s="18"/>
      <c r="P26" s="18"/>
      <c r="Q26" s="18"/>
      <c r="R26"/>
      <c r="S26"/>
      <c r="T26"/>
      <c r="V26" s="15">
        <f>IFERROR((basicLWB-VLOOKUP(B26,$M$10:$N$18,2,FALSE))*E26*F26,0)</f>
        <v>0</v>
      </c>
      <c r="W26" s="12" t="e">
        <f t="shared" si="7"/>
        <v>#DIV/0!</v>
      </c>
      <c r="X26" s="11"/>
      <c r="Y26" s="4"/>
      <c r="Z26" s="4"/>
      <c r="AA26" s="4"/>
    </row>
    <row r="27" spans="1:27" ht="16.5" customHeight="1" x14ac:dyDescent="0.3">
      <c r="A27" s="27"/>
      <c r="B27" s="13"/>
      <c r="C27" s="3"/>
      <c r="D27" s="7"/>
      <c r="E27" s="5"/>
      <c r="F27" s="105">
        <f t="shared" si="0"/>
        <v>0</v>
      </c>
      <c r="G27" s="106">
        <f t="shared" si="1"/>
        <v>0</v>
      </c>
      <c r="H27" s="107">
        <f t="shared" si="4"/>
        <v>0</v>
      </c>
      <c r="I27" s="35"/>
      <c r="J27" s="36"/>
      <c r="K27" s="29"/>
      <c r="N27" s="50"/>
      <c r="O27" s="18"/>
      <c r="P27" s="18"/>
      <c r="Q27" s="18"/>
      <c r="R27"/>
      <c r="S27"/>
      <c r="T27"/>
      <c r="V27" s="15">
        <f>IFERROR((basicLWB-VLOOKUP(B27,$M$10:$N$18,2,FALSE))*E27*F27,0)</f>
        <v>0</v>
      </c>
      <c r="W27" s="12" t="e">
        <f t="shared" si="7"/>
        <v>#DIV/0!</v>
      </c>
      <c r="X27" s="11"/>
      <c r="Y27" s="4"/>
      <c r="Z27" s="4"/>
      <c r="AA27" s="4"/>
    </row>
    <row r="28" spans="1:27" ht="16.5" customHeight="1" x14ac:dyDescent="0.3">
      <c r="A28" s="27"/>
      <c r="B28" s="13"/>
      <c r="C28" s="3"/>
      <c r="D28" s="7"/>
      <c r="E28" s="5"/>
      <c r="F28" s="105">
        <f t="shared" si="0"/>
        <v>0</v>
      </c>
      <c r="G28" s="106">
        <f t="shared" si="1"/>
        <v>0</v>
      </c>
      <c r="H28" s="107">
        <f t="shared" si="4"/>
        <v>0</v>
      </c>
      <c r="I28" s="35"/>
      <c r="J28" s="36"/>
      <c r="K28" s="29"/>
      <c r="N28" s="50"/>
      <c r="O28" s="18"/>
      <c r="P28" s="18"/>
      <c r="Q28" s="18"/>
      <c r="R28"/>
      <c r="S28"/>
      <c r="T28"/>
      <c r="V28" s="15">
        <f>IFERROR((basicLWB-VLOOKUP(B28,$M$10:$N$18,2,FALSE))*E28*F28,0)</f>
        <v>0</v>
      </c>
      <c r="W28" s="12" t="e">
        <f t="shared" si="7"/>
        <v>#DIV/0!</v>
      </c>
      <c r="X28" s="11"/>
      <c r="Y28" s="4"/>
      <c r="Z28" s="4"/>
      <c r="AA28" s="4"/>
    </row>
    <row r="29" spans="1:27" ht="16.5" customHeight="1" x14ac:dyDescent="0.3">
      <c r="A29" s="27"/>
      <c r="B29" s="13"/>
      <c r="C29" s="3"/>
      <c r="D29" s="7"/>
      <c r="E29" s="5"/>
      <c r="F29" s="105">
        <f t="shared" si="0"/>
        <v>0</v>
      </c>
      <c r="G29" s="106">
        <f t="shared" si="1"/>
        <v>0</v>
      </c>
      <c r="H29" s="107">
        <f t="shared" si="4"/>
        <v>0</v>
      </c>
      <c r="I29" s="35"/>
      <c r="J29" s="17"/>
      <c r="K29" s="29"/>
      <c r="N29" s="50"/>
      <c r="O29" s="18"/>
      <c r="P29" s="18"/>
      <c r="Q29" s="18"/>
      <c r="R29"/>
      <c r="S29"/>
      <c r="T29"/>
      <c r="V29" s="15">
        <f>IFERROR((basicLWB-VLOOKUP(B29,$M$10:$N$18,2,FALSE))*E29*F29,0)</f>
        <v>0</v>
      </c>
      <c r="W29" s="12" t="e">
        <f t="shared" si="7"/>
        <v>#DIV/0!</v>
      </c>
      <c r="X29" s="11"/>
      <c r="Y29" s="4"/>
      <c r="Z29" s="4"/>
      <c r="AA29" s="4"/>
    </row>
    <row r="30" spans="1:27" ht="16.5" customHeight="1" x14ac:dyDescent="0.3">
      <c r="A30" s="27"/>
      <c r="B30" s="13"/>
      <c r="C30" s="3"/>
      <c r="D30" s="7"/>
      <c r="E30" s="5"/>
      <c r="F30" s="105">
        <f t="shared" si="0"/>
        <v>0</v>
      </c>
      <c r="G30" s="106">
        <f t="shared" si="1"/>
        <v>0</v>
      </c>
      <c r="H30" s="107">
        <f t="shared" si="4"/>
        <v>0</v>
      </c>
      <c r="I30" s="35"/>
      <c r="J30" s="37"/>
      <c r="K30" s="29"/>
      <c r="N30" s="50"/>
      <c r="O30" s="18"/>
      <c r="P30" s="18"/>
      <c r="Q30" s="18"/>
      <c r="R30"/>
      <c r="S30"/>
      <c r="T30"/>
      <c r="V30" s="15">
        <f>IFERROR((basicLWB-VLOOKUP(B30,$M$10:$N$18,2,FALSE))*E30*F30,0)</f>
        <v>0</v>
      </c>
      <c r="W30" s="12" t="e">
        <f t="shared" si="7"/>
        <v>#DIV/0!</v>
      </c>
      <c r="X30" s="11"/>
      <c r="Y30" s="4"/>
      <c r="Z30" s="4"/>
      <c r="AA30" s="4"/>
    </row>
    <row r="31" spans="1:27" ht="16.5" customHeight="1" x14ac:dyDescent="0.3">
      <c r="A31" s="27"/>
      <c r="B31" s="13"/>
      <c r="C31" s="3"/>
      <c r="D31" s="7"/>
      <c r="E31" s="5"/>
      <c r="F31" s="105">
        <f t="shared" si="0"/>
        <v>0</v>
      </c>
      <c r="G31" s="106">
        <f t="shared" si="1"/>
        <v>0</v>
      </c>
      <c r="H31" s="107">
        <f t="shared" si="4"/>
        <v>0</v>
      </c>
      <c r="I31" s="35"/>
      <c r="J31" s="17"/>
      <c r="K31" s="29"/>
      <c r="N31" s="50"/>
      <c r="O31" s="18"/>
      <c r="P31" s="18"/>
      <c r="Q31" s="18"/>
      <c r="R31"/>
      <c r="S31"/>
      <c r="T31"/>
      <c r="V31" s="15">
        <f>IFERROR((basicLWB-VLOOKUP(B31,$M$10:$N$18,2,FALSE))*E31*F31,0)</f>
        <v>0</v>
      </c>
      <c r="W31" s="12" t="e">
        <f t="shared" si="7"/>
        <v>#DIV/0!</v>
      </c>
      <c r="X31" s="11"/>
      <c r="Y31" s="4"/>
      <c r="Z31" s="4"/>
      <c r="AA31" s="4"/>
    </row>
    <row r="32" spans="1:27" ht="16.5" customHeight="1" x14ac:dyDescent="0.3">
      <c r="A32" s="27"/>
      <c r="B32" s="14"/>
      <c r="C32" s="3"/>
      <c r="D32" s="1"/>
      <c r="E32" s="5"/>
      <c r="F32" s="105">
        <f t="shared" si="0"/>
        <v>0</v>
      </c>
      <c r="G32" s="106">
        <f t="shared" si="1"/>
        <v>0</v>
      </c>
      <c r="H32" s="107">
        <f t="shared" si="4"/>
        <v>0</v>
      </c>
      <c r="I32" s="35"/>
      <c r="J32" s="17"/>
      <c r="K32" s="29"/>
      <c r="N32" s="50"/>
      <c r="O32" s="18"/>
      <c r="P32" s="18"/>
      <c r="Q32" s="18"/>
      <c r="R32"/>
      <c r="S32"/>
      <c r="T32"/>
      <c r="V32" s="15">
        <f>IFERROR((basicLWB-VLOOKUP(B32,$M$10:$N$18,2,FALSE))*E32*F32,0)</f>
        <v>0</v>
      </c>
      <c r="W32" s="12" t="e">
        <f t="shared" si="7"/>
        <v>#DIV/0!</v>
      </c>
      <c r="X32" s="11"/>
      <c r="Y32" s="4"/>
      <c r="Z32" s="4"/>
      <c r="AA32" s="4"/>
    </row>
    <row r="33" spans="1:27" ht="16.5" customHeight="1" x14ac:dyDescent="0.3">
      <c r="A33" s="27"/>
      <c r="B33" s="14"/>
      <c r="C33" s="3"/>
      <c r="D33" s="1"/>
      <c r="E33" s="5"/>
      <c r="F33" s="105">
        <f t="shared" si="0"/>
        <v>0</v>
      </c>
      <c r="G33" s="106">
        <f t="shared" si="1"/>
        <v>0</v>
      </c>
      <c r="H33" s="107">
        <f t="shared" si="4"/>
        <v>0</v>
      </c>
      <c r="I33" s="35"/>
      <c r="J33" s="17"/>
      <c r="K33" s="29"/>
      <c r="O33" s="18"/>
      <c r="P33" s="18"/>
      <c r="Q33" s="18"/>
      <c r="R33"/>
      <c r="S33"/>
      <c r="T33"/>
      <c r="V33" s="15">
        <f>IFERROR((basicLWB-VLOOKUP(B33,$M$10:$N$18,2,FALSE))*E33*F33,0)</f>
        <v>0</v>
      </c>
      <c r="W33" s="12" t="e">
        <f t="shared" si="7"/>
        <v>#DIV/0!</v>
      </c>
      <c r="X33" s="11"/>
      <c r="Y33" s="4"/>
      <c r="Z33" s="4"/>
      <c r="AA33" s="4"/>
    </row>
    <row r="34" spans="1:27" ht="16.5" customHeight="1" x14ac:dyDescent="0.3">
      <c r="A34" s="27"/>
      <c r="B34" s="14"/>
      <c r="C34" s="3"/>
      <c r="D34" s="1"/>
      <c r="E34" s="5"/>
      <c r="F34" s="105">
        <f t="shared" si="0"/>
        <v>0</v>
      </c>
      <c r="G34" s="106">
        <f t="shared" si="1"/>
        <v>0</v>
      </c>
      <c r="H34" s="107">
        <f t="shared" si="4"/>
        <v>0</v>
      </c>
      <c r="I34" s="35"/>
      <c r="J34" s="17"/>
      <c r="K34" s="29"/>
      <c r="O34" s="18"/>
      <c r="P34" s="18"/>
      <c r="Q34" s="18"/>
      <c r="R34"/>
      <c r="S34"/>
      <c r="T34"/>
      <c r="V34" s="15">
        <f>IFERROR((basicLWB-VLOOKUP(B34,$M$10:$N$18,2,FALSE))*E34*F34,0)</f>
        <v>0</v>
      </c>
      <c r="W34" s="12" t="e">
        <f t="shared" ref="W34:W40" si="8">+V34/LWgap</f>
        <v>#DIV/0!</v>
      </c>
      <c r="X34" s="11"/>
      <c r="Y34" s="4"/>
      <c r="Z34" s="4"/>
      <c r="AA34" s="4"/>
    </row>
    <row r="35" spans="1:27" ht="16.5" customHeight="1" x14ac:dyDescent="0.3">
      <c r="A35" s="27"/>
      <c r="B35" s="14"/>
      <c r="C35" s="3"/>
      <c r="D35" s="1"/>
      <c r="E35" s="5"/>
      <c r="F35" s="105">
        <f t="shared" si="0"/>
        <v>0</v>
      </c>
      <c r="G35" s="106">
        <f t="shared" si="1"/>
        <v>0</v>
      </c>
      <c r="H35" s="107">
        <f t="shared" si="4"/>
        <v>0</v>
      </c>
      <c r="I35" s="35"/>
      <c r="J35" s="17"/>
      <c r="K35" s="29"/>
      <c r="O35" s="18"/>
      <c r="P35" s="18"/>
      <c r="Q35" s="18"/>
      <c r="R35"/>
      <c r="S35"/>
      <c r="T35"/>
      <c r="V35" s="15">
        <f>IFERROR((basicLWB-VLOOKUP(B35,$M$10:$N$18,2,FALSE))*E35*F35,0)</f>
        <v>0</v>
      </c>
      <c r="W35" s="12" t="e">
        <f t="shared" si="8"/>
        <v>#DIV/0!</v>
      </c>
      <c r="X35" s="11"/>
      <c r="Y35" s="4"/>
      <c r="Z35" s="4"/>
      <c r="AA35" s="4"/>
    </row>
    <row r="36" spans="1:27" ht="16.5" customHeight="1" x14ac:dyDescent="0.3">
      <c r="A36" s="27"/>
      <c r="B36" s="14"/>
      <c r="C36" s="3"/>
      <c r="D36" s="1"/>
      <c r="E36" s="5"/>
      <c r="F36" s="105">
        <f t="shared" si="0"/>
        <v>0</v>
      </c>
      <c r="G36" s="106">
        <f t="shared" si="1"/>
        <v>0</v>
      </c>
      <c r="H36" s="107">
        <f t="shared" si="4"/>
        <v>0</v>
      </c>
      <c r="I36" s="35"/>
      <c r="J36" s="37"/>
      <c r="K36" s="29"/>
      <c r="O36" s="18"/>
      <c r="P36" s="18"/>
      <c r="Q36" s="18"/>
      <c r="R36"/>
      <c r="S36"/>
      <c r="T36"/>
      <c r="V36" s="15">
        <f>IFERROR((basicLWB-VLOOKUP(B36,$M$10:$N$18,2,FALSE))*E36*F36,0)</f>
        <v>0</v>
      </c>
      <c r="W36" s="12" t="e">
        <f t="shared" si="8"/>
        <v>#DIV/0!</v>
      </c>
      <c r="X36" s="11"/>
      <c r="Y36" s="4"/>
      <c r="Z36" s="4"/>
      <c r="AA36" s="4"/>
    </row>
    <row r="37" spans="1:27" ht="16.5" customHeight="1" x14ac:dyDescent="0.3">
      <c r="A37" s="27"/>
      <c r="B37" s="14"/>
      <c r="C37" s="3"/>
      <c r="D37" s="1"/>
      <c r="E37" s="5"/>
      <c r="F37" s="105">
        <f t="shared" si="0"/>
        <v>0</v>
      </c>
      <c r="G37" s="106">
        <f t="shared" si="1"/>
        <v>0</v>
      </c>
      <c r="H37" s="107">
        <f t="shared" si="4"/>
        <v>0</v>
      </c>
      <c r="I37" s="35"/>
      <c r="J37" s="37"/>
      <c r="K37" s="29"/>
      <c r="O37" s="18"/>
      <c r="P37" s="18"/>
      <c r="Q37" s="18"/>
      <c r="R37"/>
      <c r="S37"/>
      <c r="T37"/>
      <c r="V37" s="15">
        <f>IFERROR((basicLWB-VLOOKUP(B37,$M$10:$N$18,2,FALSE))*E37*F37,0)</f>
        <v>0</v>
      </c>
      <c r="W37" s="12" t="e">
        <f t="shared" si="8"/>
        <v>#DIV/0!</v>
      </c>
      <c r="X37" s="11"/>
      <c r="Y37" s="4"/>
      <c r="Z37" s="4"/>
      <c r="AA37" s="4"/>
    </row>
    <row r="38" spans="1:27" ht="16.5" customHeight="1" x14ac:dyDescent="0.3">
      <c r="A38" s="27"/>
      <c r="B38" s="14"/>
      <c r="C38" s="3"/>
      <c r="D38" s="1"/>
      <c r="E38" s="5"/>
      <c r="F38" s="105">
        <f t="shared" si="0"/>
        <v>0</v>
      </c>
      <c r="G38" s="106">
        <f t="shared" si="1"/>
        <v>0</v>
      </c>
      <c r="H38" s="107">
        <f t="shared" si="4"/>
        <v>0</v>
      </c>
      <c r="I38" s="35"/>
      <c r="J38" s="17"/>
      <c r="K38" s="29"/>
      <c r="O38" s="18"/>
      <c r="P38" s="18"/>
      <c r="Q38" s="18"/>
      <c r="R38"/>
      <c r="S38"/>
      <c r="T38"/>
      <c r="V38" s="15">
        <f>IFERROR((basicLWB-VLOOKUP(B38,$M$10:$N$18,2,FALSE))*E38*F38,0)</f>
        <v>0</v>
      </c>
      <c r="W38" s="12" t="e">
        <f t="shared" si="8"/>
        <v>#DIV/0!</v>
      </c>
      <c r="X38" s="11"/>
      <c r="Y38" s="4"/>
      <c r="Z38" s="4"/>
      <c r="AA38" s="4"/>
    </row>
    <row r="39" spans="1:27" ht="16.5" customHeight="1" x14ac:dyDescent="0.3">
      <c r="A39" s="27"/>
      <c r="B39" s="14"/>
      <c r="C39" s="3"/>
      <c r="D39" s="1"/>
      <c r="E39" s="5"/>
      <c r="F39" s="105">
        <f t="shared" si="0"/>
        <v>0</v>
      </c>
      <c r="G39" s="106">
        <f t="shared" si="1"/>
        <v>0</v>
      </c>
      <c r="H39" s="107">
        <f t="shared" si="4"/>
        <v>0</v>
      </c>
      <c r="I39" s="35"/>
      <c r="J39" s="17"/>
      <c r="K39" s="29"/>
      <c r="O39" s="18"/>
      <c r="P39" s="18"/>
      <c r="Q39" s="18"/>
      <c r="R39"/>
      <c r="S39"/>
      <c r="T39"/>
      <c r="V39" s="15">
        <f>IFERROR((basicLWB-VLOOKUP(B39,$M$10:$N$18,2,FALSE))*E39*F39,0)</f>
        <v>0</v>
      </c>
      <c r="W39" s="12" t="e">
        <f t="shared" si="8"/>
        <v>#DIV/0!</v>
      </c>
      <c r="X39" s="11"/>
      <c r="Y39" s="4"/>
      <c r="Z39" s="4"/>
      <c r="AA39" s="4"/>
    </row>
    <row r="40" spans="1:27" ht="16.5" customHeight="1" thickBot="1" x14ac:dyDescent="0.35">
      <c r="A40" s="27"/>
      <c r="B40" s="14"/>
      <c r="C40" s="3"/>
      <c r="D40" s="1"/>
      <c r="E40" s="5"/>
      <c r="F40" s="105">
        <f t="shared" si="0"/>
        <v>0</v>
      </c>
      <c r="G40" s="106">
        <f t="shared" si="1"/>
        <v>0</v>
      </c>
      <c r="H40" s="107">
        <f t="shared" si="4"/>
        <v>0</v>
      </c>
      <c r="I40" s="35"/>
      <c r="J40" s="17"/>
      <c r="K40" s="29"/>
      <c r="O40" s="18"/>
      <c r="P40" s="18"/>
      <c r="Q40" s="18"/>
      <c r="R40"/>
      <c r="S40"/>
      <c r="T40"/>
      <c r="V40" s="15">
        <f>IFERROR((basicLWB-VLOOKUP(B40,$M$10:$N$18,2,FALSE))*E40*F40,0)</f>
        <v>0</v>
      </c>
      <c r="W40" s="12" t="e">
        <f t="shared" si="8"/>
        <v>#DIV/0!</v>
      </c>
      <c r="X40" s="11"/>
      <c r="Y40" s="4"/>
      <c r="Z40" s="4"/>
      <c r="AA40" s="4"/>
    </row>
    <row r="41" spans="1:27" ht="16.5" customHeight="1" thickBot="1" x14ac:dyDescent="0.35">
      <c r="A41" s="27"/>
      <c r="B41" s="100" t="s">
        <v>0</v>
      </c>
      <c r="C41" s="101">
        <f>SUM(C10:C40)</f>
        <v>0</v>
      </c>
      <c r="D41" s="101"/>
      <c r="E41" s="102"/>
      <c r="F41" s="102">
        <f>SUM(F10:F40)</f>
        <v>0</v>
      </c>
      <c r="G41" s="103">
        <f>SUM(G10:G40)</f>
        <v>0</v>
      </c>
      <c r="H41" s="104"/>
      <c r="I41" s="38"/>
      <c r="J41" s="17"/>
      <c r="K41" s="29"/>
      <c r="O41" s="18"/>
      <c r="P41" s="18"/>
      <c r="Q41" s="18"/>
      <c r="R41"/>
      <c r="S41"/>
      <c r="T41"/>
      <c r="V41" s="16">
        <f>SUM(V10:V40)</f>
        <v>0</v>
      </c>
      <c r="W41" s="9" t="e">
        <f>SUM(W10:W40)</f>
        <v>#DIV/0!</v>
      </c>
      <c r="X41" s="11"/>
      <c r="Y41" s="4"/>
      <c r="Z41" s="4"/>
      <c r="AA41" s="4"/>
    </row>
    <row r="42" spans="1:27" ht="15.75" customHeight="1" thickBot="1" x14ac:dyDescent="0.35">
      <c r="A42" s="27"/>
      <c r="B42" s="17"/>
      <c r="C42" s="17"/>
      <c r="D42" s="17"/>
      <c r="E42" s="17"/>
      <c r="F42" s="17"/>
      <c r="G42" s="17"/>
      <c r="H42" s="17"/>
      <c r="I42" s="17"/>
      <c r="J42" s="17"/>
      <c r="K42" s="29"/>
      <c r="O42" s="18"/>
      <c r="P42" s="18"/>
      <c r="Q42" s="18"/>
      <c r="R42"/>
      <c r="S42"/>
      <c r="T42"/>
    </row>
    <row r="43" spans="1:27" ht="15.75" customHeight="1" thickBot="1" x14ac:dyDescent="0.35">
      <c r="A43" s="27"/>
      <c r="B43" s="130" t="s">
        <v>1</v>
      </c>
      <c r="C43" s="131"/>
      <c r="D43" s="124" t="s">
        <v>15</v>
      </c>
      <c r="E43" s="125"/>
      <c r="F43" s="125"/>
      <c r="G43" s="126"/>
      <c r="H43" s="104">
        <f>+D6*0.3</f>
        <v>0</v>
      </c>
      <c r="I43" s="45" t="str">
        <f>T9&amp;"/periodo de "&amp;D5&amp;" meses"</f>
        <v>pesos/periodo de  meses</v>
      </c>
      <c r="J43" s="17"/>
      <c r="K43" s="29"/>
      <c r="O43" s="18"/>
      <c r="P43" s="18"/>
      <c r="Q43" s="18"/>
      <c r="R43"/>
      <c r="S43"/>
      <c r="T43"/>
    </row>
    <row r="44" spans="1:27" ht="15.75" customHeight="1" thickBot="1" x14ac:dyDescent="0.35">
      <c r="A44" s="27"/>
      <c r="B44" s="132"/>
      <c r="C44" s="133"/>
      <c r="D44" s="127" t="s">
        <v>52</v>
      </c>
      <c r="E44" s="128"/>
      <c r="F44" s="128"/>
      <c r="G44" s="129"/>
      <c r="H44" s="104">
        <f>G41</f>
        <v>0</v>
      </c>
      <c r="I44" s="45" t="str">
        <f>I43</f>
        <v>pesos/periodo de  meses</v>
      </c>
      <c r="J44" s="17"/>
      <c r="K44" s="29"/>
      <c r="O44" s="18"/>
      <c r="P44" s="18"/>
      <c r="Q44" s="18"/>
      <c r="R44"/>
      <c r="S44"/>
      <c r="T44"/>
    </row>
    <row r="45" spans="1:27" ht="6.75" customHeight="1" x14ac:dyDescent="0.3">
      <c r="A45" s="27"/>
      <c r="B45" s="17"/>
      <c r="C45" s="17"/>
      <c r="D45" s="17"/>
      <c r="E45" s="17"/>
      <c r="F45" s="17"/>
      <c r="G45" s="17"/>
      <c r="H45" s="17"/>
      <c r="I45" s="17"/>
      <c r="J45" s="17"/>
      <c r="K45" s="29"/>
      <c r="O45" s="18"/>
      <c r="P45" s="18"/>
      <c r="Q45" s="18"/>
      <c r="R45"/>
      <c r="S45"/>
      <c r="T45"/>
    </row>
    <row r="46" spans="1:27" ht="15.75" customHeight="1" x14ac:dyDescent="0.3">
      <c r="A46" s="27"/>
      <c r="B46" s="17"/>
      <c r="C46" s="17"/>
      <c r="D46" s="17"/>
      <c r="E46" s="17"/>
      <c r="F46" s="17"/>
      <c r="G46" s="17"/>
      <c r="H46" s="17"/>
      <c r="I46" s="17"/>
      <c r="J46" s="17"/>
      <c r="K46" s="29"/>
      <c r="O46" s="18"/>
      <c r="P46" s="18"/>
      <c r="Q46" s="18"/>
      <c r="R46"/>
      <c r="S46"/>
      <c r="T46"/>
    </row>
    <row r="47" spans="1:27" ht="15" thickBot="1" x14ac:dyDescent="0.35">
      <c r="A47" s="39"/>
      <c r="B47" s="40"/>
      <c r="C47" s="40"/>
      <c r="D47" s="40"/>
      <c r="E47" s="40"/>
      <c r="F47" s="40"/>
      <c r="G47" s="40"/>
      <c r="H47" s="40"/>
      <c r="I47" s="40"/>
      <c r="J47" s="40"/>
      <c r="K47" s="41"/>
      <c r="O47" s="18"/>
      <c r="P47" s="18"/>
      <c r="Q47" s="18"/>
      <c r="R47"/>
      <c r="S47"/>
      <c r="T47"/>
    </row>
    <row r="48" spans="1:27" x14ac:dyDescent="0.3">
      <c r="M48" s="108"/>
      <c r="O48" s="42"/>
      <c r="P48" s="42"/>
      <c r="Q48" s="42"/>
      <c r="R48" s="46"/>
      <c r="S48" s="43"/>
      <c r="T48" s="46"/>
    </row>
    <row r="49" spans="13:20" ht="15.6" x14ac:dyDescent="0.3">
      <c r="M49" s="52"/>
      <c r="N49" s="53"/>
      <c r="O49" s="54"/>
      <c r="P49" s="55"/>
      <c r="Q49" s="42"/>
      <c r="R49" s="56"/>
      <c r="S49" s="46"/>
      <c r="T49" s="46"/>
    </row>
    <row r="50" spans="13:20" ht="15.6" x14ac:dyDescent="0.3">
      <c r="M50" s="52"/>
      <c r="N50" s="53"/>
      <c r="O50" s="55"/>
      <c r="P50" s="55"/>
      <c r="Q50" s="42"/>
      <c r="R50" s="56"/>
      <c r="S50" s="46"/>
      <c r="T50" s="46"/>
    </row>
    <row r="51" spans="13:20" ht="15.6" x14ac:dyDescent="0.3">
      <c r="M51" s="52"/>
      <c r="N51" s="53"/>
      <c r="O51" s="55"/>
      <c r="P51" s="55"/>
      <c r="Q51" s="42"/>
      <c r="R51" s="56"/>
      <c r="S51" s="46"/>
      <c r="T51" s="46"/>
    </row>
    <row r="52" spans="13:20" ht="15.6" x14ac:dyDescent="0.3">
      <c r="M52" s="52"/>
      <c r="N52" s="53"/>
      <c r="O52" s="55"/>
      <c r="P52" s="55"/>
      <c r="Q52" s="42"/>
      <c r="R52" s="56"/>
      <c r="S52" s="46"/>
      <c r="T52" s="46"/>
    </row>
    <row r="53" spans="13:20" ht="15.6" x14ac:dyDescent="0.3">
      <c r="M53" s="52"/>
      <c r="N53" s="53"/>
      <c r="O53" s="55"/>
      <c r="P53" s="55"/>
      <c r="Q53" s="42"/>
      <c r="R53" s="56"/>
      <c r="S53" s="46"/>
      <c r="T53" s="46"/>
    </row>
    <row r="54" spans="13:20" ht="15.6" x14ac:dyDescent="0.3">
      <c r="M54" s="52"/>
      <c r="N54" s="53"/>
      <c r="O54" s="55"/>
      <c r="P54" s="55"/>
      <c r="Q54" s="42"/>
      <c r="R54" s="56"/>
      <c r="S54" s="46"/>
      <c r="T54" s="46"/>
    </row>
    <row r="55" spans="13:20" ht="15.6" x14ac:dyDescent="0.3">
      <c r="M55" s="52"/>
      <c r="N55" s="53"/>
      <c r="O55" s="55"/>
      <c r="P55" s="55"/>
      <c r="Q55" s="42"/>
      <c r="R55" s="56"/>
      <c r="S55" s="46"/>
      <c r="T55" s="46"/>
    </row>
    <row r="56" spans="13:20" ht="15.6" x14ac:dyDescent="0.3">
      <c r="M56" s="52"/>
      <c r="N56" s="53"/>
      <c r="O56" s="55"/>
      <c r="P56" s="55"/>
      <c r="Q56" s="42"/>
      <c r="R56" s="56"/>
      <c r="S56" s="46"/>
      <c r="T56" s="46"/>
    </row>
    <row r="57" spans="13:20" ht="15.6" x14ac:dyDescent="0.3">
      <c r="M57" s="52"/>
      <c r="N57" s="53"/>
      <c r="O57" s="55"/>
      <c r="P57" s="54"/>
      <c r="Q57" s="42"/>
      <c r="R57" s="56"/>
      <c r="S57" s="46"/>
      <c r="T57" s="46"/>
    </row>
    <row r="58" spans="13:20" x14ac:dyDescent="0.3">
      <c r="O58" s="57"/>
      <c r="P58" s="109"/>
      <c r="Q58" s="42"/>
      <c r="R58" s="46"/>
      <c r="S58" s="46"/>
      <c r="T58" s="46"/>
    </row>
    <row r="59" spans="13:20" x14ac:dyDescent="0.3">
      <c r="M59" s="108"/>
      <c r="O59" s="42"/>
      <c r="P59" s="42"/>
      <c r="Q59" s="42"/>
      <c r="R59" s="46"/>
      <c r="S59" s="43"/>
      <c r="T59" s="46"/>
    </row>
    <row r="60" spans="13:20" ht="15.6" x14ac:dyDescent="0.3">
      <c r="M60" s="52"/>
      <c r="N60" s="53"/>
      <c r="O60" s="54"/>
      <c r="P60" s="55"/>
      <c r="Q60" s="42"/>
      <c r="R60" s="56"/>
      <c r="S60" s="46"/>
      <c r="T60" s="46"/>
    </row>
    <row r="61" spans="13:20" ht="15.6" x14ac:dyDescent="0.3">
      <c r="M61" s="52"/>
      <c r="N61" s="53"/>
      <c r="O61" s="55"/>
      <c r="P61" s="55"/>
      <c r="Q61" s="42"/>
      <c r="R61" s="56"/>
      <c r="S61" s="46"/>
      <c r="T61" s="46"/>
    </row>
    <row r="62" spans="13:20" ht="15.6" x14ac:dyDescent="0.3">
      <c r="M62" s="52"/>
      <c r="N62" s="53"/>
      <c r="O62" s="55"/>
      <c r="P62" s="55"/>
      <c r="Q62" s="42"/>
      <c r="R62" s="56"/>
      <c r="S62" s="46"/>
      <c r="T62" s="46"/>
    </row>
    <row r="63" spans="13:20" ht="15.6" x14ac:dyDescent="0.3">
      <c r="M63" s="52"/>
      <c r="N63" s="53"/>
      <c r="O63" s="55"/>
      <c r="P63" s="55"/>
      <c r="Q63" s="42"/>
      <c r="R63" s="56"/>
      <c r="S63" s="46"/>
      <c r="T63" s="46"/>
    </row>
    <row r="64" spans="13:20" ht="15.6" x14ac:dyDescent="0.3">
      <c r="M64" s="52"/>
      <c r="N64" s="53"/>
      <c r="O64" s="55"/>
      <c r="P64" s="55"/>
      <c r="Q64" s="42"/>
      <c r="R64" s="56"/>
      <c r="S64" s="46"/>
      <c r="T64" s="46"/>
    </row>
    <row r="65" spans="13:20" ht="15.6" x14ac:dyDescent="0.3">
      <c r="M65" s="52"/>
      <c r="N65" s="53"/>
      <c r="O65" s="55"/>
      <c r="P65" s="55"/>
      <c r="Q65" s="42"/>
      <c r="R65" s="56"/>
      <c r="S65" s="46"/>
      <c r="T65" s="46"/>
    </row>
    <row r="66" spans="13:20" ht="15.6" x14ac:dyDescent="0.3">
      <c r="M66" s="52"/>
      <c r="N66" s="53"/>
      <c r="O66" s="55"/>
      <c r="P66" s="55"/>
      <c r="Q66" s="42"/>
      <c r="R66" s="56"/>
      <c r="S66" s="46"/>
      <c r="T66" s="46"/>
    </row>
    <row r="67" spans="13:20" ht="15.6" x14ac:dyDescent="0.3">
      <c r="M67" s="52"/>
      <c r="N67" s="53"/>
      <c r="O67" s="55"/>
      <c r="P67" s="55"/>
      <c r="Q67" s="42"/>
      <c r="R67" s="56"/>
      <c r="S67" s="46"/>
      <c r="T67" s="46"/>
    </row>
    <row r="68" spans="13:20" ht="15.6" x14ac:dyDescent="0.3">
      <c r="M68" s="52"/>
      <c r="N68" s="53"/>
      <c r="O68" s="55"/>
      <c r="P68" s="54"/>
      <c r="Q68" s="42"/>
      <c r="R68" s="56"/>
      <c r="S68" s="46"/>
      <c r="T68" s="46"/>
    </row>
    <row r="69" spans="13:20" x14ac:dyDescent="0.3">
      <c r="O69" s="57"/>
      <c r="P69" s="109"/>
      <c r="Q69" s="42"/>
      <c r="R69" s="46"/>
      <c r="S69" s="46"/>
      <c r="T69" s="46"/>
    </row>
    <row r="70" spans="13:20" x14ac:dyDescent="0.3">
      <c r="M70" s="47"/>
      <c r="O70" s="42"/>
      <c r="P70" s="42"/>
      <c r="Q70" s="42"/>
      <c r="R70" s="46"/>
      <c r="S70" s="43"/>
      <c r="T70" s="46"/>
    </row>
    <row r="71" spans="13:20" ht="15.6" x14ac:dyDescent="0.3">
      <c r="M71" s="52"/>
      <c r="N71" s="53"/>
      <c r="O71" s="54"/>
      <c r="P71" s="55"/>
      <c r="Q71" s="42"/>
      <c r="R71" s="56"/>
      <c r="S71" s="46"/>
      <c r="T71" s="46"/>
    </row>
    <row r="72" spans="13:20" ht="15.6" x14ac:dyDescent="0.3">
      <c r="M72" s="52"/>
      <c r="N72" s="53"/>
      <c r="O72" s="55"/>
      <c r="P72" s="55"/>
      <c r="Q72" s="42"/>
      <c r="R72" s="56"/>
      <c r="S72" s="46"/>
      <c r="T72" s="46"/>
    </row>
    <row r="73" spans="13:20" ht="15.6" x14ac:dyDescent="0.3">
      <c r="M73" s="52"/>
      <c r="N73" s="53"/>
      <c r="O73" s="55"/>
      <c r="P73" s="55"/>
      <c r="Q73" s="42"/>
      <c r="R73" s="56"/>
      <c r="S73" s="46"/>
      <c r="T73" s="46"/>
    </row>
    <row r="74" spans="13:20" ht="15.6" x14ac:dyDescent="0.3">
      <c r="M74" s="52"/>
      <c r="N74" s="53"/>
      <c r="O74" s="55"/>
      <c r="P74" s="55"/>
      <c r="Q74" s="42"/>
      <c r="R74" s="56"/>
      <c r="S74" s="46"/>
      <c r="T74" s="46"/>
    </row>
    <row r="75" spans="13:20" ht="15.6" x14ac:dyDescent="0.3">
      <c r="M75" s="52"/>
      <c r="N75" s="53"/>
      <c r="O75" s="55"/>
      <c r="P75" s="55"/>
      <c r="Q75" s="42"/>
      <c r="R75" s="56"/>
      <c r="S75" s="46"/>
      <c r="T75" s="46"/>
    </row>
    <row r="76" spans="13:20" ht="15.6" x14ac:dyDescent="0.3">
      <c r="M76" s="52"/>
      <c r="N76" s="53"/>
      <c r="O76" s="55"/>
      <c r="P76" s="55"/>
      <c r="Q76" s="42"/>
      <c r="R76" s="56"/>
      <c r="S76" s="46"/>
      <c r="T76" s="46"/>
    </row>
    <row r="77" spans="13:20" ht="15.6" x14ac:dyDescent="0.3">
      <c r="M77" s="52"/>
      <c r="N77" s="53"/>
      <c r="O77" s="55"/>
      <c r="P77" s="55"/>
      <c r="Q77" s="42"/>
      <c r="R77" s="56"/>
      <c r="S77" s="46"/>
      <c r="T77" s="46"/>
    </row>
    <row r="78" spans="13:20" ht="15.6" x14ac:dyDescent="0.3">
      <c r="M78" s="52"/>
      <c r="N78" s="53"/>
      <c r="O78" s="55"/>
      <c r="P78" s="55"/>
      <c r="Q78" s="42"/>
      <c r="R78" s="56"/>
      <c r="S78" s="46"/>
      <c r="T78" s="46"/>
    </row>
    <row r="79" spans="13:20" ht="15.6" x14ac:dyDescent="0.3">
      <c r="M79" s="52"/>
      <c r="N79" s="53"/>
      <c r="O79" s="55"/>
      <c r="P79" s="54"/>
      <c r="Q79" s="42"/>
      <c r="R79" s="56"/>
      <c r="S79" s="46"/>
      <c r="T79" s="46"/>
    </row>
    <row r="80" spans="13:20" x14ac:dyDescent="0.3">
      <c r="O80" s="57"/>
      <c r="P80" s="109"/>
      <c r="Q80" s="42"/>
      <c r="R80" s="46"/>
      <c r="S80" s="46"/>
      <c r="T80" s="46"/>
    </row>
    <row r="81" spans="13:20" x14ac:dyDescent="0.3">
      <c r="M81" s="47"/>
      <c r="O81" s="42"/>
      <c r="P81" s="42"/>
      <c r="Q81" s="42"/>
      <c r="R81" s="46"/>
      <c r="S81" s="43"/>
      <c r="T81" s="46"/>
    </row>
    <row r="82" spans="13:20" ht="15.6" x14ac:dyDescent="0.3">
      <c r="M82" s="52"/>
      <c r="N82" s="53"/>
      <c r="O82" s="54"/>
      <c r="P82" s="55"/>
      <c r="Q82" s="42"/>
      <c r="R82" s="56"/>
      <c r="S82" s="46"/>
      <c r="T82" s="46"/>
    </row>
    <row r="83" spans="13:20" ht="15.6" x14ac:dyDescent="0.3">
      <c r="M83" s="52"/>
      <c r="N83" s="53"/>
      <c r="O83" s="55"/>
      <c r="P83" s="55"/>
      <c r="Q83" s="42"/>
      <c r="R83" s="56"/>
      <c r="S83" s="46"/>
      <c r="T83" s="46"/>
    </row>
    <row r="84" spans="13:20" ht="15.6" x14ac:dyDescent="0.3">
      <c r="M84" s="52"/>
      <c r="N84" s="53"/>
      <c r="O84" s="55"/>
      <c r="P84" s="55"/>
      <c r="Q84" s="42"/>
      <c r="R84" s="56"/>
      <c r="S84" s="46"/>
      <c r="T84" s="46"/>
    </row>
    <row r="85" spans="13:20" ht="15.6" x14ac:dyDescent="0.3">
      <c r="M85" s="52"/>
      <c r="N85" s="53"/>
      <c r="O85" s="55"/>
      <c r="P85" s="55"/>
      <c r="Q85" s="42"/>
      <c r="R85" s="56"/>
      <c r="S85" s="46"/>
      <c r="T85" s="46"/>
    </row>
    <row r="86" spans="13:20" ht="15.6" x14ac:dyDescent="0.3">
      <c r="M86" s="52"/>
      <c r="N86" s="53"/>
      <c r="O86" s="55"/>
      <c r="P86" s="55"/>
      <c r="Q86" s="42"/>
      <c r="R86" s="56"/>
      <c r="S86" s="46"/>
      <c r="T86" s="46"/>
    </row>
    <row r="87" spans="13:20" ht="15.6" x14ac:dyDescent="0.3">
      <c r="M87" s="52"/>
      <c r="N87" s="53"/>
      <c r="O87" s="55"/>
      <c r="P87" s="55"/>
      <c r="Q87" s="42"/>
      <c r="R87" s="56"/>
      <c r="S87" s="46"/>
      <c r="T87" s="46"/>
    </row>
    <row r="88" spans="13:20" ht="15.6" x14ac:dyDescent="0.3">
      <c r="M88" s="52"/>
      <c r="N88" s="53"/>
      <c r="O88" s="55"/>
      <c r="P88" s="55"/>
      <c r="Q88" s="42"/>
      <c r="R88" s="56"/>
      <c r="S88" s="46"/>
      <c r="T88" s="46"/>
    </row>
    <row r="89" spans="13:20" ht="15.6" x14ac:dyDescent="0.3">
      <c r="M89" s="52"/>
      <c r="N89" s="53"/>
      <c r="O89" s="55"/>
      <c r="P89" s="55"/>
      <c r="Q89" s="42"/>
      <c r="R89" s="56"/>
      <c r="S89" s="46"/>
      <c r="T89" s="46"/>
    </row>
    <row r="90" spans="13:20" ht="15.6" x14ac:dyDescent="0.3">
      <c r="M90" s="52"/>
      <c r="N90" s="53"/>
      <c r="O90" s="55"/>
      <c r="P90" s="54"/>
      <c r="Q90" s="42"/>
      <c r="R90" s="56"/>
      <c r="S90" s="46"/>
      <c r="T90" s="46"/>
    </row>
    <row r="91" spans="13:20" x14ac:dyDescent="0.3">
      <c r="O91" s="57"/>
      <c r="P91" s="109"/>
      <c r="Q91" s="42"/>
      <c r="R91" s="46"/>
      <c r="S91" s="46"/>
      <c r="T91" s="46"/>
    </row>
    <row r="92" spans="13:20" x14ac:dyDescent="0.3">
      <c r="M92" s="47"/>
      <c r="O92" s="42"/>
      <c r="P92" s="42"/>
      <c r="Q92" s="42"/>
      <c r="R92" s="46"/>
      <c r="S92" s="43"/>
      <c r="T92" s="46"/>
    </row>
    <row r="93" spans="13:20" ht="15.6" x14ac:dyDescent="0.3">
      <c r="M93" s="52"/>
      <c r="N93" s="53"/>
      <c r="O93" s="54"/>
      <c r="P93" s="55"/>
      <c r="Q93" s="42"/>
      <c r="R93" s="56"/>
      <c r="S93" s="46"/>
      <c r="T93" s="46"/>
    </row>
    <row r="94" spans="13:20" ht="15.6" x14ac:dyDescent="0.3">
      <c r="M94" s="52"/>
      <c r="N94" s="53"/>
      <c r="O94" s="55"/>
      <c r="P94" s="55"/>
      <c r="Q94" s="42"/>
      <c r="R94" s="56"/>
      <c r="S94" s="46"/>
      <c r="T94" s="46"/>
    </row>
    <row r="95" spans="13:20" ht="15.6" x14ac:dyDescent="0.3">
      <c r="M95" s="52"/>
      <c r="N95" s="53"/>
      <c r="O95" s="55"/>
      <c r="P95" s="55"/>
      <c r="Q95" s="42"/>
      <c r="R95" s="56"/>
      <c r="S95" s="46"/>
      <c r="T95" s="46"/>
    </row>
    <row r="96" spans="13:20" ht="15.6" x14ac:dyDescent="0.3">
      <c r="M96" s="52"/>
      <c r="N96" s="53"/>
      <c r="O96" s="55"/>
      <c r="P96" s="55"/>
      <c r="Q96" s="42"/>
      <c r="R96" s="56"/>
      <c r="S96" s="46"/>
      <c r="T96" s="46"/>
    </row>
    <row r="97" spans="13:20" ht="15.6" x14ac:dyDescent="0.3">
      <c r="M97" s="52"/>
      <c r="N97" s="53"/>
      <c r="O97" s="55"/>
      <c r="P97" s="55"/>
      <c r="Q97" s="42"/>
      <c r="R97" s="56"/>
      <c r="S97" s="46"/>
      <c r="T97" s="46"/>
    </row>
    <row r="98" spans="13:20" ht="15.6" x14ac:dyDescent="0.3">
      <c r="M98" s="52"/>
      <c r="N98" s="53"/>
      <c r="O98" s="55"/>
      <c r="P98" s="55"/>
      <c r="Q98" s="42"/>
      <c r="R98" s="56"/>
      <c r="S98" s="46"/>
      <c r="T98" s="46"/>
    </row>
    <row r="99" spans="13:20" ht="15.6" x14ac:dyDescent="0.3">
      <c r="M99" s="52"/>
      <c r="N99" s="53"/>
      <c r="O99" s="55"/>
      <c r="P99" s="55"/>
      <c r="Q99" s="42"/>
      <c r="R99" s="56"/>
      <c r="S99" s="46"/>
      <c r="T99" s="46"/>
    </row>
    <row r="100" spans="13:20" ht="15.6" x14ac:dyDescent="0.3">
      <c r="M100" s="52"/>
      <c r="N100" s="53"/>
      <c r="O100" s="55"/>
      <c r="P100" s="55"/>
      <c r="Q100" s="42"/>
      <c r="R100" s="56"/>
      <c r="S100" s="46"/>
      <c r="T100" s="46"/>
    </row>
    <row r="101" spans="13:20" ht="15.6" x14ac:dyDescent="0.3">
      <c r="M101" s="52"/>
      <c r="N101" s="53"/>
      <c r="O101" s="55"/>
      <c r="P101" s="54"/>
      <c r="Q101" s="42"/>
      <c r="R101" s="56"/>
      <c r="S101" s="46"/>
      <c r="T101" s="46"/>
    </row>
    <row r="102" spans="13:20" x14ac:dyDescent="0.3">
      <c r="O102" s="57"/>
      <c r="P102" s="109"/>
      <c r="Q102" s="42"/>
      <c r="R102" s="46"/>
      <c r="S102" s="46"/>
      <c r="T102" s="46"/>
    </row>
    <row r="103" spans="13:20" x14ac:dyDescent="0.3">
      <c r="M103" s="47"/>
      <c r="O103" s="42"/>
      <c r="P103" s="42"/>
      <c r="Q103" s="42"/>
      <c r="R103" s="46"/>
      <c r="S103" s="43"/>
      <c r="T103" s="46"/>
    </row>
    <row r="104" spans="13:20" ht="15.6" x14ac:dyDescent="0.3">
      <c r="M104" s="52"/>
      <c r="N104" s="53"/>
      <c r="O104" s="54"/>
      <c r="P104" s="55"/>
      <c r="Q104" s="42"/>
      <c r="R104" s="56"/>
      <c r="S104" s="46"/>
      <c r="T104" s="46"/>
    </row>
    <row r="105" spans="13:20" ht="15.6" x14ac:dyDescent="0.3">
      <c r="M105" s="52"/>
      <c r="N105" s="53"/>
      <c r="O105" s="55"/>
      <c r="P105" s="55"/>
      <c r="Q105" s="42"/>
      <c r="R105" s="56"/>
      <c r="S105" s="46"/>
      <c r="T105" s="46"/>
    </row>
    <row r="106" spans="13:20" ht="15.6" x14ac:dyDescent="0.3">
      <c r="M106" s="52"/>
      <c r="N106" s="53"/>
      <c r="O106" s="55"/>
      <c r="P106" s="55"/>
      <c r="Q106" s="42"/>
      <c r="R106" s="56"/>
      <c r="S106" s="46"/>
      <c r="T106" s="46"/>
    </row>
    <row r="107" spans="13:20" ht="15.6" x14ac:dyDescent="0.3">
      <c r="M107" s="52"/>
      <c r="N107" s="53"/>
      <c r="O107" s="55"/>
      <c r="P107" s="55"/>
      <c r="Q107" s="42"/>
      <c r="R107" s="56"/>
      <c r="S107" s="46"/>
      <c r="T107" s="46"/>
    </row>
    <row r="108" spans="13:20" ht="15.6" x14ac:dyDescent="0.3">
      <c r="M108" s="52"/>
      <c r="N108" s="53"/>
      <c r="O108" s="55"/>
      <c r="P108" s="55"/>
      <c r="Q108" s="42"/>
      <c r="R108" s="56"/>
      <c r="S108" s="46"/>
      <c r="T108" s="46"/>
    </row>
    <row r="109" spans="13:20" ht="15.6" x14ac:dyDescent="0.3">
      <c r="M109" s="52"/>
      <c r="N109" s="53"/>
      <c r="O109" s="55"/>
      <c r="P109" s="55"/>
      <c r="Q109" s="42"/>
      <c r="R109" s="56"/>
      <c r="S109" s="46"/>
      <c r="T109" s="46"/>
    </row>
    <row r="110" spans="13:20" ht="15.6" x14ac:dyDescent="0.3">
      <c r="M110" s="52"/>
      <c r="N110" s="53"/>
      <c r="O110" s="55"/>
      <c r="P110" s="55"/>
      <c r="Q110" s="42"/>
      <c r="R110" s="56"/>
      <c r="S110" s="46"/>
      <c r="T110" s="46"/>
    </row>
    <row r="111" spans="13:20" ht="15.6" x14ac:dyDescent="0.3">
      <c r="M111" s="52"/>
      <c r="N111" s="53"/>
      <c r="O111" s="55"/>
      <c r="P111" s="55"/>
      <c r="Q111" s="42"/>
      <c r="R111" s="56"/>
      <c r="S111" s="46"/>
      <c r="T111" s="46"/>
    </row>
    <row r="112" spans="13:20" ht="15.6" x14ac:dyDescent="0.3">
      <c r="M112" s="52"/>
      <c r="N112" s="53"/>
      <c r="O112" s="55"/>
      <c r="P112" s="54"/>
      <c r="Q112" s="42"/>
      <c r="R112" s="56"/>
      <c r="S112" s="46"/>
      <c r="T112" s="46"/>
    </row>
    <row r="113" spans="13:20" x14ac:dyDescent="0.3">
      <c r="O113" s="57"/>
      <c r="P113" s="109"/>
      <c r="Q113" s="42"/>
      <c r="R113" s="46"/>
      <c r="S113" s="46"/>
      <c r="T113" s="46"/>
    </row>
    <row r="114" spans="13:20" x14ac:dyDescent="0.3">
      <c r="M114" s="47"/>
      <c r="O114" s="42"/>
      <c r="P114" s="42"/>
      <c r="Q114" s="42"/>
      <c r="R114" s="46"/>
      <c r="S114" s="43"/>
      <c r="T114" s="46"/>
    </row>
    <row r="115" spans="13:20" ht="15.6" x14ac:dyDescent="0.3">
      <c r="M115" s="52"/>
      <c r="N115" s="53"/>
      <c r="O115" s="54"/>
      <c r="P115" s="55"/>
      <c r="Q115" s="42"/>
      <c r="R115" s="56"/>
      <c r="S115" s="46"/>
      <c r="T115" s="46"/>
    </row>
    <row r="116" spans="13:20" ht="15.6" x14ac:dyDescent="0.3">
      <c r="M116" s="52"/>
      <c r="N116" s="53"/>
      <c r="O116" s="55"/>
      <c r="P116" s="55"/>
      <c r="Q116" s="42"/>
      <c r="R116" s="56"/>
      <c r="S116" s="46"/>
      <c r="T116" s="46"/>
    </row>
    <row r="117" spans="13:20" ht="15.6" x14ac:dyDescent="0.3">
      <c r="M117" s="52"/>
      <c r="N117" s="53"/>
      <c r="O117" s="55"/>
      <c r="P117" s="55"/>
      <c r="Q117" s="42"/>
      <c r="R117" s="56"/>
      <c r="S117" s="46"/>
      <c r="T117" s="46"/>
    </row>
    <row r="118" spans="13:20" ht="15.6" x14ac:dyDescent="0.3">
      <c r="M118" s="52"/>
      <c r="N118" s="53"/>
      <c r="O118" s="55"/>
      <c r="P118" s="55"/>
      <c r="Q118" s="42"/>
      <c r="R118" s="56"/>
      <c r="S118" s="46"/>
      <c r="T118" s="46"/>
    </row>
    <row r="119" spans="13:20" ht="15.6" x14ac:dyDescent="0.3">
      <c r="M119" s="52"/>
      <c r="N119" s="53"/>
      <c r="O119" s="55"/>
      <c r="P119" s="55"/>
      <c r="Q119" s="42"/>
      <c r="R119" s="56"/>
      <c r="S119" s="46"/>
      <c r="T119" s="46"/>
    </row>
    <row r="120" spans="13:20" ht="15.6" x14ac:dyDescent="0.3">
      <c r="M120" s="52"/>
      <c r="N120" s="53"/>
      <c r="O120" s="55"/>
      <c r="P120" s="55"/>
      <c r="Q120" s="42"/>
      <c r="R120" s="56"/>
      <c r="S120" s="46"/>
      <c r="T120" s="46"/>
    </row>
    <row r="121" spans="13:20" ht="15.6" x14ac:dyDescent="0.3">
      <c r="M121" s="52"/>
      <c r="N121" s="53"/>
      <c r="O121" s="55"/>
      <c r="P121" s="55"/>
      <c r="Q121" s="42"/>
      <c r="R121" s="56"/>
      <c r="S121" s="46"/>
      <c r="T121" s="46"/>
    </row>
    <row r="122" spans="13:20" ht="15.6" x14ac:dyDescent="0.3">
      <c r="M122" s="52"/>
      <c r="N122" s="53"/>
      <c r="O122" s="55"/>
      <c r="P122" s="55"/>
      <c r="Q122" s="42"/>
      <c r="R122" s="56"/>
      <c r="S122" s="46"/>
      <c r="T122" s="46"/>
    </row>
    <row r="123" spans="13:20" ht="15.6" x14ac:dyDescent="0.3">
      <c r="M123" s="52"/>
      <c r="N123" s="53"/>
      <c r="O123" s="55"/>
      <c r="P123" s="54"/>
      <c r="Q123" s="42"/>
      <c r="R123" s="56"/>
      <c r="S123" s="46"/>
      <c r="T123" s="46"/>
    </row>
    <row r="124" spans="13:20" x14ac:dyDescent="0.3">
      <c r="O124" s="57"/>
      <c r="P124" s="109"/>
      <c r="Q124" s="42"/>
      <c r="R124" s="46"/>
      <c r="S124" s="46"/>
      <c r="T124" s="46"/>
    </row>
    <row r="125" spans="13:20" x14ac:dyDescent="0.3">
      <c r="M125" s="47"/>
      <c r="O125" s="42"/>
      <c r="P125" s="42"/>
      <c r="Q125" s="42"/>
      <c r="R125" s="46"/>
      <c r="S125" s="43"/>
      <c r="T125" s="43"/>
    </row>
    <row r="126" spans="13:20" ht="15.6" x14ac:dyDescent="0.3">
      <c r="M126" s="52"/>
      <c r="N126" s="53"/>
      <c r="O126" s="54"/>
      <c r="P126" s="55"/>
      <c r="Q126" s="42"/>
      <c r="R126" s="56"/>
      <c r="S126" s="46"/>
      <c r="T126" s="46"/>
    </row>
    <row r="127" spans="13:20" ht="15.6" x14ac:dyDescent="0.3">
      <c r="M127" s="52"/>
      <c r="N127" s="53"/>
      <c r="O127" s="55"/>
      <c r="P127" s="55"/>
      <c r="Q127" s="42"/>
      <c r="R127" s="56"/>
      <c r="S127" s="46"/>
      <c r="T127" s="46"/>
    </row>
    <row r="128" spans="13:20" ht="15.6" x14ac:dyDescent="0.3">
      <c r="M128" s="52"/>
      <c r="N128" s="53"/>
      <c r="O128" s="55"/>
      <c r="P128" s="55"/>
      <c r="Q128" s="42"/>
      <c r="R128" s="56"/>
      <c r="S128" s="46"/>
      <c r="T128" s="46"/>
    </row>
    <row r="129" spans="13:20" ht="15.6" x14ac:dyDescent="0.3">
      <c r="M129" s="52"/>
      <c r="N129" s="53"/>
      <c r="O129" s="55"/>
      <c r="P129" s="55"/>
      <c r="Q129" s="42"/>
      <c r="R129" s="56"/>
      <c r="S129" s="46"/>
      <c r="T129" s="46"/>
    </row>
    <row r="130" spans="13:20" ht="15.6" x14ac:dyDescent="0.3">
      <c r="M130" s="52"/>
      <c r="N130" s="53"/>
      <c r="O130" s="55"/>
      <c r="P130" s="55"/>
      <c r="Q130" s="42"/>
      <c r="R130" s="56"/>
      <c r="S130" s="46"/>
      <c r="T130" s="46"/>
    </row>
    <row r="131" spans="13:20" ht="15.6" x14ac:dyDescent="0.3">
      <c r="M131" s="52"/>
      <c r="N131" s="53"/>
      <c r="O131" s="55"/>
      <c r="P131" s="55"/>
      <c r="Q131" s="42"/>
      <c r="R131" s="56"/>
      <c r="S131" s="46"/>
      <c r="T131" s="46"/>
    </row>
    <row r="132" spans="13:20" ht="15.6" x14ac:dyDescent="0.3">
      <c r="M132" s="52"/>
      <c r="N132" s="53"/>
      <c r="O132" s="55"/>
      <c r="P132" s="55"/>
      <c r="Q132" s="42"/>
      <c r="R132" s="56"/>
      <c r="S132" s="46"/>
      <c r="T132" s="46"/>
    </row>
    <row r="133" spans="13:20" ht="15.6" x14ac:dyDescent="0.3">
      <c r="M133" s="52"/>
      <c r="N133" s="53"/>
      <c r="O133" s="55"/>
      <c r="P133" s="55"/>
      <c r="Q133" s="42"/>
      <c r="R133" s="56"/>
      <c r="S133" s="46"/>
      <c r="T133" s="46"/>
    </row>
    <row r="134" spans="13:20" ht="15.6" x14ac:dyDescent="0.3">
      <c r="M134" s="52"/>
      <c r="N134" s="53"/>
      <c r="O134" s="55"/>
      <c r="P134" s="54"/>
      <c r="Q134" s="42"/>
      <c r="R134" s="56"/>
      <c r="S134" s="46"/>
      <c r="T134" s="46"/>
    </row>
    <row r="135" spans="13:20" x14ac:dyDescent="0.3">
      <c r="O135" s="57"/>
      <c r="P135" s="109"/>
      <c r="Q135" s="42"/>
      <c r="R135" s="46"/>
      <c r="S135" s="46"/>
      <c r="T135" s="46"/>
    </row>
  </sheetData>
  <sheetProtection algorithmName="SHA-512" hashValue="i9HHkKWpkvFAGWw9L50RuLyNl3eceNtKuKv/S8iTbOQ9PHKPd7XSUXNpAiOdQPOTzk+b/YroOk6gDAcHV0I4SA==" saltValue="hNmi9TNUphVO/6n48/UbCA==" spinCount="100000" sheet="1" formatCells="0"/>
  <dataConsolidate/>
  <mergeCells count="13">
    <mergeCell ref="B43:C44"/>
    <mergeCell ref="D43:G43"/>
    <mergeCell ref="D44:G44"/>
    <mergeCell ref="B2:H2"/>
    <mergeCell ref="J2:J3"/>
    <mergeCell ref="B4:C4"/>
    <mergeCell ref="F4:G4"/>
    <mergeCell ref="J4:J10"/>
    <mergeCell ref="B5:C5"/>
    <mergeCell ref="F5:G5"/>
    <mergeCell ref="B6:C6"/>
    <mergeCell ref="F6:G6"/>
    <mergeCell ref="B7:C7"/>
  </mergeCells>
  <conditionalFormatting sqref="E10:E40">
    <cfRule type="expression" dxfId="4" priority="1">
      <formula>E10&gt;$D$5</formula>
    </cfRule>
  </conditionalFormatting>
  <dataValidations count="3">
    <dataValidation type="list" allowBlank="1" showInputMessage="1" showErrorMessage="1" sqref="E10:E40" xr:uid="{1A6F5134-9859-41ED-A179-E4988CDE6E1E}">
      <formula1>$Z$10:$Z$21</formula1>
    </dataValidation>
    <dataValidation type="list" allowBlank="1" showInputMessage="1" showErrorMessage="1" sqref="B10:B40" xr:uid="{843013FB-CB60-4539-8212-F3E2C6294B72}">
      <formula1>$M$10:$M$18</formula1>
    </dataValidation>
    <dataValidation type="list" allowBlank="1" showInputMessage="1" showErrorMessage="1" sqref="D10:D40" xr:uid="{233CAFA2-720B-413F-A7CD-8251CB70C6BC}">
      <formula1>$AA$10:$AA$22</formula1>
    </dataValidation>
  </dataValidations>
  <pageMargins left="0.7" right="0.7" top="0.75" bottom="0.75" header="0.3" footer="0.3"/>
  <pageSetup orientation="portrait" horizontalDpi="300" verticalDpi="30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0BAEBE-FC84-496B-8ABA-7231B122BF17}">
  <dimension ref="A1:AA135"/>
  <sheetViews>
    <sheetView showGridLines="0" showRowColHeaders="0" zoomScaleNormal="100" workbookViewId="0"/>
  </sheetViews>
  <sheetFormatPr defaultColWidth="11.5546875" defaultRowHeight="14.4" x14ac:dyDescent="0.3"/>
  <cols>
    <col min="1" max="1" width="1.6640625" customWidth="1"/>
    <col min="2" max="2" width="36.33203125" customWidth="1"/>
    <col min="3" max="5" width="12.88671875" customWidth="1"/>
    <col min="6" max="8" width="19.21875" customWidth="1"/>
    <col min="9" max="9" width="2" customWidth="1"/>
    <col min="10" max="10" width="29.88671875" bestFit="1" customWidth="1"/>
    <col min="11" max="11" width="1.88671875" customWidth="1"/>
    <col min="12" max="12" width="5.109375" style="11" customWidth="1"/>
    <col min="13" max="13" width="37.109375" style="48" hidden="1" customWidth="1"/>
    <col min="14" max="14" width="10.6640625" style="21" hidden="1" customWidth="1"/>
    <col min="15" max="15" width="13.6640625" style="21" hidden="1" customWidth="1"/>
    <col min="16" max="16" width="11.44140625" style="21" hidden="1" customWidth="1"/>
    <col min="17" max="17" width="5.33203125" style="21" hidden="1" customWidth="1"/>
    <col min="18" max="18" width="11.44140625" style="4" hidden="1" customWidth="1"/>
    <col min="19" max="20" width="11.5546875" style="4" hidden="1" customWidth="1"/>
    <col min="21" max="21" width="11.5546875" style="18" hidden="1" customWidth="1"/>
    <col min="22" max="22" width="14.6640625" style="18" hidden="1" customWidth="1"/>
    <col min="23" max="23" width="11.5546875" style="18" hidden="1" customWidth="1"/>
    <col min="24" max="27" width="11.5546875" hidden="1" customWidth="1"/>
  </cols>
  <sheetData>
    <row r="1" spans="1:27" ht="9" customHeight="1" thickBot="1" x14ac:dyDescent="0.35">
      <c r="A1" s="24"/>
      <c r="B1" s="25"/>
      <c r="C1" s="25"/>
      <c r="D1" s="25"/>
      <c r="E1" s="25"/>
      <c r="F1" s="25"/>
      <c r="G1" s="25"/>
      <c r="H1" s="25"/>
      <c r="I1" s="25"/>
      <c r="J1" s="25"/>
      <c r="K1" s="26"/>
    </row>
    <row r="2" spans="1:27" ht="46.8" customHeight="1" thickBot="1" x14ac:dyDescent="0.35">
      <c r="A2" s="27"/>
      <c r="B2" s="121" t="s">
        <v>67</v>
      </c>
      <c r="C2" s="122"/>
      <c r="D2" s="122"/>
      <c r="E2" s="122"/>
      <c r="F2" s="122"/>
      <c r="G2" s="122"/>
      <c r="H2" s="123"/>
      <c r="I2" s="28"/>
      <c r="J2" s="116" t="s">
        <v>26</v>
      </c>
      <c r="K2" s="29"/>
    </row>
    <row r="3" spans="1:27" ht="10.5" customHeight="1" thickBot="1" x14ac:dyDescent="0.35">
      <c r="A3" s="27"/>
      <c r="B3" s="17"/>
      <c r="C3" s="17"/>
      <c r="D3" s="17"/>
      <c r="E3" s="17"/>
      <c r="F3" s="17"/>
      <c r="G3" s="17"/>
      <c r="H3" s="17"/>
      <c r="I3" s="17"/>
      <c r="J3" s="117"/>
      <c r="K3" s="29"/>
    </row>
    <row r="4" spans="1:27" ht="16.2" customHeight="1" thickBot="1" x14ac:dyDescent="0.35">
      <c r="A4" s="27"/>
      <c r="B4" s="136" t="s">
        <v>18</v>
      </c>
      <c r="C4" s="137"/>
      <c r="D4" s="22"/>
      <c r="E4" s="31"/>
      <c r="F4" s="140" t="s">
        <v>36</v>
      </c>
      <c r="G4" s="141"/>
      <c r="H4" s="19"/>
      <c r="I4" s="31"/>
      <c r="J4" s="118" t="s">
        <v>54</v>
      </c>
      <c r="K4" s="29"/>
    </row>
    <row r="5" spans="1:27" ht="48.6" customHeight="1" thickBot="1" x14ac:dyDescent="0.35">
      <c r="A5" s="27"/>
      <c r="B5" s="134" t="s">
        <v>35</v>
      </c>
      <c r="C5" s="135"/>
      <c r="D5" s="20"/>
      <c r="E5" s="113" t="s">
        <v>27</v>
      </c>
      <c r="F5" s="142" t="str">
        <f>"Producción de cajas en el período de los "&amp;D5&amp;" meses (expresadas en cajas de 18.14 kg):"</f>
        <v>Producción de cajas en el período de los  meses (expresadas en cajas de 18.14 kg):</v>
      </c>
      <c r="G5" s="143"/>
      <c r="H5" s="19"/>
      <c r="I5" s="31"/>
      <c r="J5" s="119"/>
      <c r="K5" s="29"/>
    </row>
    <row r="6" spans="1:27" ht="31.8" customHeight="1" thickBot="1" x14ac:dyDescent="0.35">
      <c r="A6" s="27"/>
      <c r="B6" s="138" t="str">
        <f>"Monto total del Premio Fairtrade recibido en el periodo de los "&amp;D5&amp;" meses (en "&amp;T9&amp;"/perido de "&amp;D5&amp;" meses) :"</f>
        <v>Monto total del Premio Fairtrade recibido en el periodo de los  meses (en córdobas/perido de  meses) :</v>
      </c>
      <c r="C6" s="139"/>
      <c r="D6" s="20"/>
      <c r="E6" s="113" t="s">
        <v>27</v>
      </c>
      <c r="F6" s="138" t="str">
        <f>"Salario Digno de Referencia básico 2025 (en "&amp;T9&amp;"/mes) :"</f>
        <v>Salario Digno de Referencia básico 2025 (en córdobas/mes) :</v>
      </c>
      <c r="G6" s="139"/>
      <c r="H6" s="99">
        <f>P18</f>
        <v>10638</v>
      </c>
      <c r="I6" s="30"/>
      <c r="J6" s="119"/>
      <c r="K6" s="29"/>
      <c r="M6" s="49"/>
      <c r="O6" s="50"/>
    </row>
    <row r="7" spans="1:27" ht="16.2" customHeight="1" thickBot="1" x14ac:dyDescent="0.35">
      <c r="A7" s="27"/>
      <c r="B7" s="144" t="str">
        <f>"Tipo de cambio (en "&amp;T9&amp;"/US dólar) :"</f>
        <v>Tipo de cambio (en córdobas/US dólar) :</v>
      </c>
      <c r="C7" s="145"/>
      <c r="D7" s="19"/>
      <c r="E7" s="31"/>
      <c r="F7" s="114" t="s">
        <v>159</v>
      </c>
      <c r="G7" s="17"/>
      <c r="H7" s="17"/>
      <c r="I7" s="30"/>
      <c r="J7" s="119"/>
      <c r="K7" s="29"/>
      <c r="M7" s="49"/>
    </row>
    <row r="8" spans="1:27" ht="10.199999999999999" customHeight="1" thickBot="1" x14ac:dyDescent="0.35">
      <c r="A8" s="27"/>
      <c r="B8" s="32"/>
      <c r="C8" s="17"/>
      <c r="D8" s="17"/>
      <c r="E8" s="17"/>
      <c r="F8" s="17"/>
      <c r="G8" s="17"/>
      <c r="H8" s="17"/>
      <c r="I8" s="17"/>
      <c r="J8" s="119"/>
      <c r="K8" s="29"/>
      <c r="M8" s="51"/>
    </row>
    <row r="9" spans="1:27" ht="55.8" thickBot="1" x14ac:dyDescent="0.35">
      <c r="A9" s="27"/>
      <c r="B9" s="94" t="s">
        <v>43</v>
      </c>
      <c r="C9" s="94" t="s">
        <v>13</v>
      </c>
      <c r="D9" s="94" t="s">
        <v>12</v>
      </c>
      <c r="E9" s="95" t="str">
        <f>"# meses laborados en el periodo de "&amp;D5&amp;" meses"</f>
        <v># meses laborados en el periodo de  meses</v>
      </c>
      <c r="F9" s="96" t="s">
        <v>47</v>
      </c>
      <c r="G9" s="97" t="str">
        <f>"Brecha Salarial/ período de "&amp;D5&amp;" meses"</f>
        <v>Brecha Salarial/ período de  meses</v>
      </c>
      <c r="H9" s="98" t="str">
        <f>"Premio Fairtrade a distribuir, in "&amp;T9&amp;"/mes/trabajador"</f>
        <v>Premio Fairtrade a distribuir, in córdobas/mes/trabajador</v>
      </c>
      <c r="I9" s="33"/>
      <c r="J9" s="119"/>
      <c r="K9" s="34"/>
      <c r="M9" s="47" t="s">
        <v>11</v>
      </c>
      <c r="N9" s="21" t="s">
        <v>3</v>
      </c>
      <c r="O9" s="43" t="s">
        <v>31</v>
      </c>
      <c r="P9" s="43" t="s">
        <v>32</v>
      </c>
      <c r="Q9" s="18"/>
      <c r="R9"/>
      <c r="S9" s="43" t="s">
        <v>21</v>
      </c>
      <c r="T9" s="46" t="s">
        <v>28</v>
      </c>
      <c r="V9" s="21" t="s">
        <v>17</v>
      </c>
      <c r="W9" s="21"/>
      <c r="X9" s="21" t="s">
        <v>2</v>
      </c>
      <c r="Y9" s="4"/>
      <c r="Z9" s="21" t="s">
        <v>33</v>
      </c>
      <c r="AA9" s="21" t="s">
        <v>34</v>
      </c>
    </row>
    <row r="10" spans="1:27" ht="16.5" customHeight="1" thickBot="1" x14ac:dyDescent="0.35">
      <c r="A10" s="27"/>
      <c r="B10" s="13" t="s">
        <v>98</v>
      </c>
      <c r="C10" s="1"/>
      <c r="D10" s="6"/>
      <c r="E10" s="5"/>
      <c r="F10" s="105">
        <f t="shared" ref="F10:F40" si="0">C10*D10/daysperweek</f>
        <v>0</v>
      </c>
      <c r="G10" s="106">
        <f t="shared" ref="G10:G40" si="1">IF(LWgap&gt;maxFP30,maxFP30*W10,V10)</f>
        <v>0</v>
      </c>
      <c r="H10" s="107">
        <f>IFERROR(G10/C10,0)</f>
        <v>0</v>
      </c>
      <c r="I10" s="35"/>
      <c r="J10" s="120"/>
      <c r="K10" s="29"/>
      <c r="L10" s="8"/>
      <c r="M10" s="52" t="str">
        <f>"Entre  "&amp;O10&amp;"  y  "&amp;P10&amp;"  "&amp;S9</f>
        <v>Entre  7553  y  7899  córdobas/mes</v>
      </c>
      <c r="N10" s="53">
        <f t="shared" ref="N10:N18" si="2">AVERAGE(O10:P10)</f>
        <v>7726</v>
      </c>
      <c r="O10" s="54">
        <v>7553</v>
      </c>
      <c r="P10" s="55">
        <f>ROUND(O10+O19,P19)-1</f>
        <v>7899</v>
      </c>
      <c r="Q10" s="42"/>
      <c r="R10" s="59">
        <f>P10-O10</f>
        <v>346</v>
      </c>
      <c r="S10"/>
      <c r="T10"/>
      <c r="V10" s="15">
        <f>IFERROR((basicLWB-VLOOKUP(B10,$M$10:$N$18,2,FALSE))*E10*F10,0)</f>
        <v>0</v>
      </c>
      <c r="W10" s="12" t="e">
        <f>V10/LWgap</f>
        <v>#DIV/0!</v>
      </c>
      <c r="X10" s="11">
        <v>1</v>
      </c>
      <c r="Y10" s="4" t="b">
        <f t="shared" ref="Y10:Y21" si="3">IF(X10&lt;=$D$5,X10,0)&lt;&gt;0</f>
        <v>0</v>
      </c>
      <c r="Z10" s="4" cm="1">
        <f t="array" ref="Z10">IFERROR(_xlfn.XLOOKUP(TRUE,Y10:$Y$21,X10:$X$21),0)</f>
        <v>0</v>
      </c>
      <c r="AA10" s="10">
        <v>6</v>
      </c>
    </row>
    <row r="11" spans="1:27" ht="16.5" customHeight="1" x14ac:dyDescent="0.3">
      <c r="A11" s="27"/>
      <c r="B11" s="13" t="s">
        <v>99</v>
      </c>
      <c r="C11" s="2"/>
      <c r="D11" s="7"/>
      <c r="E11" s="5"/>
      <c r="F11" s="105">
        <f t="shared" si="0"/>
        <v>0</v>
      </c>
      <c r="G11" s="106">
        <f t="shared" si="1"/>
        <v>0</v>
      </c>
      <c r="H11" s="107">
        <f t="shared" ref="H11:H40" si="4">IFERROR(G11/C11,0)</f>
        <v>0</v>
      </c>
      <c r="I11" s="35"/>
      <c r="J11" s="44"/>
      <c r="K11" s="29"/>
      <c r="L11" s="8"/>
      <c r="M11" s="52" t="str">
        <f>"Entre  "&amp;O11&amp;"  y  "&amp;P11&amp;"  "&amp;S9</f>
        <v>Entre  7900  y  8199  córdobas/mes</v>
      </c>
      <c r="N11" s="53">
        <f t="shared" si="2"/>
        <v>8049.5</v>
      </c>
      <c r="O11" s="55">
        <f t="shared" ref="O11:O18" si="5">P10+1</f>
        <v>7900</v>
      </c>
      <c r="P11" s="55">
        <f>ROUND(P10+O19,P19)-1</f>
        <v>8199</v>
      </c>
      <c r="Q11" s="42"/>
      <c r="R11" s="59">
        <f t="shared" ref="R11:R18" si="6">P11-P10</f>
        <v>300</v>
      </c>
      <c r="S11"/>
      <c r="T11"/>
      <c r="V11" s="15">
        <f>IFERROR((basicLWB-VLOOKUP(B11,$M$10:$N$18,2,FALSE))*E11*F11,0)</f>
        <v>0</v>
      </c>
      <c r="W11" s="12" t="e">
        <f t="shared" ref="W11:W33" si="7">+V11/LWgap</f>
        <v>#DIV/0!</v>
      </c>
      <c r="X11" s="11">
        <v>2</v>
      </c>
      <c r="Y11" s="4" t="b">
        <f t="shared" si="3"/>
        <v>0</v>
      </c>
      <c r="Z11" s="4" cm="1">
        <f t="array" ref="Z11">IFERROR(_xlfn.XLOOKUP(TRUE,Y11:$Y$21,X11:$X$21),0)</f>
        <v>0</v>
      </c>
      <c r="AA11" s="10">
        <v>5.5</v>
      </c>
    </row>
    <row r="12" spans="1:27" ht="16.5" customHeight="1" x14ac:dyDescent="0.3">
      <c r="A12" s="27"/>
      <c r="B12" s="13" t="s">
        <v>100</v>
      </c>
      <c r="C12" s="2"/>
      <c r="D12" s="7"/>
      <c r="E12" s="5"/>
      <c r="F12" s="105">
        <f t="shared" si="0"/>
        <v>0</v>
      </c>
      <c r="G12" s="106">
        <f t="shared" si="1"/>
        <v>0</v>
      </c>
      <c r="H12" s="107">
        <f t="shared" si="4"/>
        <v>0</v>
      </c>
      <c r="I12" s="35"/>
      <c r="J12" s="36"/>
      <c r="K12" s="29"/>
      <c r="L12" s="8"/>
      <c r="M12" s="52" t="str">
        <f>"Entre  "&amp;O12&amp;"  y  "&amp;P12&amp;"  "&amp;S9</f>
        <v>Entre  8200  y  8499  córdobas/mes</v>
      </c>
      <c r="N12" s="53">
        <f t="shared" si="2"/>
        <v>8349.5</v>
      </c>
      <c r="O12" s="55">
        <f t="shared" si="5"/>
        <v>8200</v>
      </c>
      <c r="P12" s="55">
        <f>ROUND(P11+O19,P19)-1</f>
        <v>8499</v>
      </c>
      <c r="Q12" s="42"/>
      <c r="R12" s="59">
        <f t="shared" si="6"/>
        <v>300</v>
      </c>
      <c r="S12"/>
      <c r="T12"/>
      <c r="V12" s="15">
        <f>IFERROR((basicLWB-VLOOKUP(B12,$M$10:$N$18,2,FALSE))*E12*F12,0)</f>
        <v>0</v>
      </c>
      <c r="W12" s="12" t="e">
        <f t="shared" si="7"/>
        <v>#DIV/0!</v>
      </c>
      <c r="X12" s="11">
        <v>3</v>
      </c>
      <c r="Y12" s="4" t="b">
        <f t="shared" si="3"/>
        <v>0</v>
      </c>
      <c r="Z12" s="4" cm="1">
        <f t="array" ref="Z12">IFERROR(_xlfn.XLOOKUP(TRUE,Y12:$Y$21,X12:$X$21),0)</f>
        <v>0</v>
      </c>
      <c r="AA12" s="10">
        <v>5</v>
      </c>
    </row>
    <row r="13" spans="1:27" ht="16.5" customHeight="1" x14ac:dyDescent="0.3">
      <c r="A13" s="27"/>
      <c r="B13" s="13" t="s">
        <v>101</v>
      </c>
      <c r="C13" s="2"/>
      <c r="D13" s="7"/>
      <c r="E13" s="5"/>
      <c r="F13" s="105">
        <f t="shared" si="0"/>
        <v>0</v>
      </c>
      <c r="G13" s="106">
        <f t="shared" si="1"/>
        <v>0</v>
      </c>
      <c r="H13" s="107">
        <f t="shared" si="4"/>
        <v>0</v>
      </c>
      <c r="I13" s="35"/>
      <c r="J13" s="36"/>
      <c r="K13" s="29"/>
      <c r="L13" s="8"/>
      <c r="M13" s="52" t="str">
        <f>"Entre  "&amp;O13&amp;"  y  "&amp;P13&amp;"  "&amp;S9</f>
        <v>Entre  8500  y  8799  córdobas/mes</v>
      </c>
      <c r="N13" s="53">
        <f t="shared" si="2"/>
        <v>8649.5</v>
      </c>
      <c r="O13" s="55">
        <f t="shared" si="5"/>
        <v>8500</v>
      </c>
      <c r="P13" s="55">
        <f>ROUND(P12+O19,P19)-1</f>
        <v>8799</v>
      </c>
      <c r="Q13" s="42"/>
      <c r="R13" s="59">
        <f t="shared" si="6"/>
        <v>300</v>
      </c>
      <c r="S13"/>
      <c r="T13"/>
      <c r="V13" s="15">
        <f>IFERROR((basicLWB-VLOOKUP(B13,$M$10:$N$18,2,FALSE))*E13*F13,0)</f>
        <v>0</v>
      </c>
      <c r="W13" s="12" t="e">
        <f t="shared" si="7"/>
        <v>#DIV/0!</v>
      </c>
      <c r="X13" s="11">
        <v>4</v>
      </c>
      <c r="Y13" s="4" t="b">
        <f t="shared" si="3"/>
        <v>0</v>
      </c>
      <c r="Z13" s="4" cm="1">
        <f t="array" ref="Z13">IFERROR(_xlfn.XLOOKUP(TRUE,Y13:$Y$21,X13:$X$21),0)</f>
        <v>0</v>
      </c>
      <c r="AA13" s="10">
        <v>4.5</v>
      </c>
    </row>
    <row r="14" spans="1:27" ht="16.5" customHeight="1" x14ac:dyDescent="0.3">
      <c r="A14" s="27"/>
      <c r="B14" s="13" t="s">
        <v>102</v>
      </c>
      <c r="C14" s="2"/>
      <c r="D14" s="7"/>
      <c r="E14" s="5"/>
      <c r="F14" s="105">
        <f t="shared" si="0"/>
        <v>0</v>
      </c>
      <c r="G14" s="106">
        <f t="shared" si="1"/>
        <v>0</v>
      </c>
      <c r="H14" s="107">
        <f t="shared" si="4"/>
        <v>0</v>
      </c>
      <c r="I14" s="35"/>
      <c r="J14" s="36"/>
      <c r="K14" s="29"/>
      <c r="L14" s="8"/>
      <c r="M14" s="52" t="str">
        <f>"Entre  "&amp;O14&amp;"  y  "&amp;P14&amp;"  "&amp;S9</f>
        <v>Entre  8800  y  9099  córdobas/mes</v>
      </c>
      <c r="N14" s="53">
        <f t="shared" si="2"/>
        <v>8949.5</v>
      </c>
      <c r="O14" s="55">
        <f t="shared" si="5"/>
        <v>8800</v>
      </c>
      <c r="P14" s="55">
        <f>ROUND(P13+O19,P19)-1</f>
        <v>9099</v>
      </c>
      <c r="Q14" s="42"/>
      <c r="R14" s="59">
        <f t="shared" si="6"/>
        <v>300</v>
      </c>
      <c r="S14"/>
      <c r="T14"/>
      <c r="V14" s="15">
        <f>IFERROR((basicLWB-VLOOKUP(B14,$M$10:$N$18,2,FALSE))*E14*F14,0)</f>
        <v>0</v>
      </c>
      <c r="W14" s="12" t="e">
        <f t="shared" si="7"/>
        <v>#DIV/0!</v>
      </c>
      <c r="X14" s="11">
        <v>5</v>
      </c>
      <c r="Y14" s="4" t="b">
        <f t="shared" si="3"/>
        <v>0</v>
      </c>
      <c r="Z14" s="4" cm="1">
        <f t="array" ref="Z14">IFERROR(_xlfn.XLOOKUP(TRUE,Y14:$Y$21,X14:$X$21),0)</f>
        <v>0</v>
      </c>
      <c r="AA14" s="10">
        <v>4</v>
      </c>
    </row>
    <row r="15" spans="1:27" ht="16.5" customHeight="1" x14ac:dyDescent="0.3">
      <c r="A15" s="27"/>
      <c r="B15" s="13" t="s">
        <v>103</v>
      </c>
      <c r="C15" s="2"/>
      <c r="D15" s="7"/>
      <c r="E15" s="5"/>
      <c r="F15" s="105">
        <f t="shared" si="0"/>
        <v>0</v>
      </c>
      <c r="G15" s="106">
        <f t="shared" si="1"/>
        <v>0</v>
      </c>
      <c r="H15" s="107">
        <f t="shared" si="4"/>
        <v>0</v>
      </c>
      <c r="I15" s="35"/>
      <c r="J15" s="36"/>
      <c r="K15" s="29"/>
      <c r="L15" s="8"/>
      <c r="M15" s="52" t="str">
        <f>"Entre  "&amp;O15&amp;"  y  "&amp;P15&amp;"  "&amp;S9</f>
        <v>Entre  9100  y  9399  córdobas/mes</v>
      </c>
      <c r="N15" s="53">
        <f t="shared" si="2"/>
        <v>9249.5</v>
      </c>
      <c r="O15" s="55">
        <f t="shared" si="5"/>
        <v>9100</v>
      </c>
      <c r="P15" s="55">
        <f>ROUND(P14+O19,P19)-1</f>
        <v>9399</v>
      </c>
      <c r="Q15" s="42"/>
      <c r="R15" s="59">
        <f t="shared" si="6"/>
        <v>300</v>
      </c>
      <c r="S15"/>
      <c r="T15"/>
      <c r="V15" s="15">
        <f>IFERROR((basicLWB-VLOOKUP(B15,$M$10:$N$18,2,FALSE))*E15*F15,0)</f>
        <v>0</v>
      </c>
      <c r="W15" s="12" t="e">
        <f t="shared" si="7"/>
        <v>#DIV/0!</v>
      </c>
      <c r="X15" s="11">
        <v>6</v>
      </c>
      <c r="Y15" s="4" t="b">
        <f t="shared" si="3"/>
        <v>0</v>
      </c>
      <c r="Z15" s="4" cm="1">
        <f t="array" ref="Z15">IFERROR(_xlfn.XLOOKUP(TRUE,Y15:$Y$21,X15:$X$21),0)</f>
        <v>0</v>
      </c>
      <c r="AA15" s="10">
        <v>3.5</v>
      </c>
    </row>
    <row r="16" spans="1:27" ht="16.5" customHeight="1" x14ac:dyDescent="0.3">
      <c r="A16" s="27"/>
      <c r="B16" s="13" t="s">
        <v>104</v>
      </c>
      <c r="C16" s="2"/>
      <c r="D16" s="7"/>
      <c r="E16" s="5"/>
      <c r="F16" s="105">
        <f t="shared" si="0"/>
        <v>0</v>
      </c>
      <c r="G16" s="106">
        <f t="shared" si="1"/>
        <v>0</v>
      </c>
      <c r="H16" s="107">
        <f t="shared" si="4"/>
        <v>0</v>
      </c>
      <c r="I16" s="35"/>
      <c r="J16" s="36"/>
      <c r="K16" s="29"/>
      <c r="L16" s="8"/>
      <c r="M16" s="52" t="str">
        <f>"Entre  "&amp;O16&amp;"  y  "&amp;P16&amp;"  "&amp;S9</f>
        <v>Entre  9400  y  9699  córdobas/mes</v>
      </c>
      <c r="N16" s="53">
        <f t="shared" si="2"/>
        <v>9549.5</v>
      </c>
      <c r="O16" s="55">
        <f t="shared" si="5"/>
        <v>9400</v>
      </c>
      <c r="P16" s="55">
        <f>ROUND(P15+O19,P19)-1</f>
        <v>9699</v>
      </c>
      <c r="Q16" s="42"/>
      <c r="R16" s="59">
        <f t="shared" si="6"/>
        <v>300</v>
      </c>
      <c r="S16"/>
      <c r="T16"/>
      <c r="V16" s="15">
        <f>IFERROR((basicLWB-VLOOKUP(B16,$M$10:$N$18,2,FALSE))*E16*F16,0)</f>
        <v>0</v>
      </c>
      <c r="W16" s="12" t="e">
        <f t="shared" si="7"/>
        <v>#DIV/0!</v>
      </c>
      <c r="X16" s="11">
        <v>7</v>
      </c>
      <c r="Y16" s="4" t="b">
        <f t="shared" si="3"/>
        <v>0</v>
      </c>
      <c r="Z16" s="4" cm="1">
        <f t="array" ref="Z16">IFERROR(_xlfn.XLOOKUP(TRUE,Y16:$Y$21,X16:$X$21),0)</f>
        <v>0</v>
      </c>
      <c r="AA16" s="10">
        <v>3</v>
      </c>
    </row>
    <row r="17" spans="1:27" ht="16.5" customHeight="1" x14ac:dyDescent="0.3">
      <c r="A17" s="27"/>
      <c r="B17" s="13" t="s">
        <v>105</v>
      </c>
      <c r="C17" s="2"/>
      <c r="D17" s="7"/>
      <c r="E17" s="5"/>
      <c r="F17" s="105">
        <f t="shared" si="0"/>
        <v>0</v>
      </c>
      <c r="G17" s="106">
        <f t="shared" si="1"/>
        <v>0</v>
      </c>
      <c r="H17" s="107">
        <f t="shared" si="4"/>
        <v>0</v>
      </c>
      <c r="I17" s="35"/>
      <c r="J17" s="36"/>
      <c r="K17" s="29"/>
      <c r="L17" s="8"/>
      <c r="M17" s="52" t="str">
        <f>"Entre  "&amp;O17&amp;"  y  "&amp;P17&amp;"  "&amp;S9</f>
        <v>Entre  9700  y  9999  córdobas/mes</v>
      </c>
      <c r="N17" s="53">
        <f t="shared" si="2"/>
        <v>9849.5</v>
      </c>
      <c r="O17" s="55">
        <f t="shared" si="5"/>
        <v>9700</v>
      </c>
      <c r="P17" s="55">
        <f>ROUND(P16+O19,P19)-1</f>
        <v>9999</v>
      </c>
      <c r="Q17" s="42"/>
      <c r="R17" s="59">
        <f t="shared" si="6"/>
        <v>300</v>
      </c>
      <c r="S17"/>
      <c r="T17"/>
      <c r="V17" s="15">
        <f>IFERROR((basicLWB-VLOOKUP(B17,$M$10:$N$18,2,FALSE))*E17*F17,0)</f>
        <v>0</v>
      </c>
      <c r="W17" s="12" t="e">
        <f t="shared" si="7"/>
        <v>#DIV/0!</v>
      </c>
      <c r="X17" s="11">
        <v>8</v>
      </c>
      <c r="Y17" s="4" t="b">
        <f t="shared" si="3"/>
        <v>0</v>
      </c>
      <c r="Z17" s="4" cm="1">
        <f t="array" ref="Z17">IFERROR(_xlfn.XLOOKUP(TRUE,Y17:$Y$21,X17:$X$21),0)</f>
        <v>0</v>
      </c>
      <c r="AA17" s="10">
        <v>3.5</v>
      </c>
    </row>
    <row r="18" spans="1:27" ht="16.5" customHeight="1" x14ac:dyDescent="0.3">
      <c r="A18" s="27"/>
      <c r="B18" s="13" t="s">
        <v>106</v>
      </c>
      <c r="C18" s="2"/>
      <c r="D18" s="7"/>
      <c r="E18" s="5"/>
      <c r="F18" s="105">
        <f t="shared" si="0"/>
        <v>0</v>
      </c>
      <c r="G18" s="106">
        <f t="shared" si="1"/>
        <v>0</v>
      </c>
      <c r="H18" s="107">
        <f t="shared" si="4"/>
        <v>0</v>
      </c>
      <c r="I18" s="35"/>
      <c r="J18" s="36"/>
      <c r="K18" s="29"/>
      <c r="L18" s="8"/>
      <c r="M18" s="52" t="str">
        <f>"Entre  "&amp;O18&amp;"  y  "&amp;P18&amp;"  "&amp;S9</f>
        <v>Entre  10000  y  10638  córdobas/mes</v>
      </c>
      <c r="N18" s="53">
        <f t="shared" si="2"/>
        <v>10319</v>
      </c>
      <c r="O18" s="55">
        <f t="shared" si="5"/>
        <v>10000</v>
      </c>
      <c r="P18" s="54">
        <v>10638</v>
      </c>
      <c r="Q18" s="18"/>
      <c r="R18" s="59">
        <f t="shared" si="6"/>
        <v>639</v>
      </c>
      <c r="S18"/>
      <c r="T18"/>
      <c r="V18" s="15">
        <f>IFERROR((basicLWB-VLOOKUP(B18,$M$10:$N$18,2,FALSE))*E18*F18,0)</f>
        <v>0</v>
      </c>
      <c r="W18" s="12" t="e">
        <f t="shared" si="7"/>
        <v>#DIV/0!</v>
      </c>
      <c r="X18" s="11">
        <v>9</v>
      </c>
      <c r="Y18" s="4" t="b">
        <f t="shared" si="3"/>
        <v>0</v>
      </c>
      <c r="Z18" s="4" cm="1">
        <f t="array" ref="Z18">IFERROR(_xlfn.XLOOKUP(TRUE,Y18:$Y$21,X18:$X$21),0)</f>
        <v>0</v>
      </c>
      <c r="AA18" s="10">
        <v>3</v>
      </c>
    </row>
    <row r="19" spans="1:27" ht="16.5" customHeight="1" x14ac:dyDescent="0.3">
      <c r="A19" s="27"/>
      <c r="B19" s="13"/>
      <c r="C19" s="2"/>
      <c r="D19" s="7"/>
      <c r="E19" s="5"/>
      <c r="F19" s="105">
        <f t="shared" si="0"/>
        <v>0</v>
      </c>
      <c r="G19" s="106">
        <f t="shared" si="1"/>
        <v>0</v>
      </c>
      <c r="H19" s="107">
        <f t="shared" si="4"/>
        <v>0</v>
      </c>
      <c r="I19" s="35"/>
      <c r="J19" s="36"/>
      <c r="K19" s="29"/>
      <c r="L19" s="8"/>
      <c r="M19" s="52"/>
      <c r="N19" s="21">
        <v>6</v>
      </c>
      <c r="O19" s="57">
        <f>ROUND((P18-O10)/9,P19)</f>
        <v>300</v>
      </c>
      <c r="P19" s="58">
        <v>-2</v>
      </c>
      <c r="Q19" s="18"/>
      <c r="S19"/>
      <c r="T19"/>
      <c r="V19" s="15">
        <f>IFERROR((basicLWB-VLOOKUP(B19,$M$10:$N$18,2,FALSE))*E19*F19,0)</f>
        <v>0</v>
      </c>
      <c r="W19" s="12" t="e">
        <f t="shared" si="7"/>
        <v>#DIV/0!</v>
      </c>
      <c r="X19" s="11">
        <v>10</v>
      </c>
      <c r="Y19" s="4" t="b">
        <f t="shared" si="3"/>
        <v>0</v>
      </c>
      <c r="Z19" s="4" cm="1">
        <f t="array" ref="Z19">IFERROR(_xlfn.XLOOKUP(TRUE,Y19:$Y$21,X19:$X$21),0)</f>
        <v>0</v>
      </c>
      <c r="AA19" s="10">
        <v>2.5</v>
      </c>
    </row>
    <row r="20" spans="1:27" ht="16.5" customHeight="1" x14ac:dyDescent="0.3">
      <c r="A20" s="27"/>
      <c r="B20" s="13"/>
      <c r="C20" s="2"/>
      <c r="D20" s="7"/>
      <c r="E20" s="5"/>
      <c r="F20" s="105">
        <f t="shared" si="0"/>
        <v>0</v>
      </c>
      <c r="G20" s="106">
        <f t="shared" si="1"/>
        <v>0</v>
      </c>
      <c r="H20" s="107">
        <f t="shared" si="4"/>
        <v>0</v>
      </c>
      <c r="I20" s="35"/>
      <c r="J20" s="36"/>
      <c r="K20" s="29"/>
      <c r="N20" s="50"/>
      <c r="O20" s="18"/>
      <c r="P20" s="18"/>
      <c r="Q20" s="18"/>
      <c r="S20"/>
      <c r="T20"/>
      <c r="V20" s="15">
        <f>IFERROR((basicLWB-VLOOKUP(B20,$M$10:$N$18,2,FALSE))*E20*F20,0)</f>
        <v>0</v>
      </c>
      <c r="W20" s="12" t="e">
        <f t="shared" si="7"/>
        <v>#DIV/0!</v>
      </c>
      <c r="X20" s="11">
        <v>11</v>
      </c>
      <c r="Y20" s="4" t="b">
        <f t="shared" si="3"/>
        <v>0</v>
      </c>
      <c r="Z20" s="4" cm="1">
        <f t="array" ref="Z20">IFERROR(_xlfn.XLOOKUP(TRUE,Y20:$Y$21,X20:$X$21),0)</f>
        <v>0</v>
      </c>
      <c r="AA20" s="10">
        <v>2</v>
      </c>
    </row>
    <row r="21" spans="1:27" ht="16.5" customHeight="1" x14ac:dyDescent="0.3">
      <c r="A21" s="27"/>
      <c r="B21" s="13"/>
      <c r="C21" s="3"/>
      <c r="D21" s="7"/>
      <c r="E21" s="5"/>
      <c r="F21" s="105">
        <f t="shared" si="0"/>
        <v>0</v>
      </c>
      <c r="G21" s="106">
        <f t="shared" si="1"/>
        <v>0</v>
      </c>
      <c r="H21" s="107">
        <f t="shared" si="4"/>
        <v>0</v>
      </c>
      <c r="I21" s="35"/>
      <c r="J21" s="36"/>
      <c r="K21" s="29"/>
      <c r="N21" s="50"/>
      <c r="O21" s="18"/>
      <c r="P21" s="18"/>
      <c r="Q21" s="18"/>
      <c r="S21"/>
      <c r="T21"/>
      <c r="V21" s="15">
        <f>IFERROR((basicLWB-VLOOKUP(B21,$M$10:$N$18,2,FALSE))*E21*F21,0)</f>
        <v>0</v>
      </c>
      <c r="W21" s="12" t="e">
        <f t="shared" si="7"/>
        <v>#DIV/0!</v>
      </c>
      <c r="X21" s="11">
        <v>12</v>
      </c>
      <c r="Y21" s="4" t="b">
        <f t="shared" si="3"/>
        <v>0</v>
      </c>
      <c r="Z21" s="4" cm="1">
        <f t="array" ref="Z21">IFERROR(_xlfn.XLOOKUP(TRUE,Y21:$Y$21,X21:$X$21),0)</f>
        <v>0</v>
      </c>
      <c r="AA21" s="10">
        <v>1.5</v>
      </c>
    </row>
    <row r="22" spans="1:27" ht="16.5" customHeight="1" x14ac:dyDescent="0.3">
      <c r="A22" s="27"/>
      <c r="B22" s="13"/>
      <c r="C22" s="3"/>
      <c r="D22" s="7"/>
      <c r="E22" s="5"/>
      <c r="F22" s="105">
        <f t="shared" si="0"/>
        <v>0</v>
      </c>
      <c r="G22" s="106">
        <f t="shared" si="1"/>
        <v>0</v>
      </c>
      <c r="H22" s="107">
        <f t="shared" si="4"/>
        <v>0</v>
      </c>
      <c r="I22" s="35"/>
      <c r="J22" s="36"/>
      <c r="K22" s="29"/>
      <c r="N22" s="50"/>
      <c r="O22" s="18"/>
      <c r="P22" s="18"/>
      <c r="Q22" s="18"/>
      <c r="S22"/>
      <c r="T22"/>
      <c r="V22" s="15">
        <f>IFERROR((basicLWB-VLOOKUP(B22,$M$10:$N$18,2,FALSE))*E22*F22,0)</f>
        <v>0</v>
      </c>
      <c r="W22" s="12" t="e">
        <f t="shared" si="7"/>
        <v>#DIV/0!</v>
      </c>
      <c r="X22" s="11"/>
      <c r="Y22" s="4"/>
      <c r="Z22" s="4"/>
      <c r="AA22" s="11">
        <v>1</v>
      </c>
    </row>
    <row r="23" spans="1:27" ht="16.5" customHeight="1" x14ac:dyDescent="0.3">
      <c r="A23" s="27"/>
      <c r="B23" s="13"/>
      <c r="C23" s="3"/>
      <c r="D23" s="7"/>
      <c r="E23" s="5"/>
      <c r="F23" s="105">
        <f t="shared" si="0"/>
        <v>0</v>
      </c>
      <c r="G23" s="106">
        <f t="shared" si="1"/>
        <v>0</v>
      </c>
      <c r="H23" s="107">
        <f t="shared" si="4"/>
        <v>0</v>
      </c>
      <c r="I23" s="35"/>
      <c r="J23" s="36"/>
      <c r="K23" s="29"/>
      <c r="N23" s="50"/>
      <c r="O23" s="18"/>
      <c r="P23" s="18"/>
      <c r="Q23" s="18"/>
      <c r="S23"/>
      <c r="T23"/>
      <c r="V23" s="15">
        <f>IFERROR((basicLWB-VLOOKUP(B23,$M$10:$N$18,2,FALSE))*E23*F23,0)</f>
        <v>0</v>
      </c>
      <c r="W23" s="12" t="e">
        <f t="shared" si="7"/>
        <v>#DIV/0!</v>
      </c>
      <c r="X23" s="11"/>
      <c r="Y23" s="4"/>
      <c r="Z23" s="4"/>
      <c r="AA23" s="4"/>
    </row>
    <row r="24" spans="1:27" ht="16.5" customHeight="1" x14ac:dyDescent="0.3">
      <c r="A24" s="27"/>
      <c r="B24" s="13"/>
      <c r="C24" s="3"/>
      <c r="D24" s="7"/>
      <c r="E24" s="5"/>
      <c r="F24" s="105">
        <f t="shared" si="0"/>
        <v>0</v>
      </c>
      <c r="G24" s="106">
        <f t="shared" si="1"/>
        <v>0</v>
      </c>
      <c r="H24" s="107">
        <f t="shared" si="4"/>
        <v>0</v>
      </c>
      <c r="I24" s="35"/>
      <c r="J24" s="36"/>
      <c r="K24" s="29"/>
      <c r="N24" s="50"/>
      <c r="O24" s="18"/>
      <c r="P24" s="18"/>
      <c r="Q24" s="18"/>
      <c r="S24"/>
      <c r="T24"/>
      <c r="V24" s="15">
        <f>IFERROR((basicLWB-VLOOKUP(B24,$M$10:$N$18,2,FALSE))*E24*F24,0)</f>
        <v>0</v>
      </c>
      <c r="W24" s="12" t="e">
        <f t="shared" si="7"/>
        <v>#DIV/0!</v>
      </c>
      <c r="X24" s="11"/>
      <c r="Y24" s="4"/>
      <c r="Z24" s="4"/>
      <c r="AA24" s="4"/>
    </row>
    <row r="25" spans="1:27" ht="16.5" customHeight="1" x14ac:dyDescent="0.3">
      <c r="A25" s="27"/>
      <c r="B25" s="13"/>
      <c r="C25" s="3"/>
      <c r="D25" s="7"/>
      <c r="E25" s="5"/>
      <c r="F25" s="105">
        <f t="shared" si="0"/>
        <v>0</v>
      </c>
      <c r="G25" s="106">
        <f t="shared" si="1"/>
        <v>0</v>
      </c>
      <c r="H25" s="107">
        <f t="shared" si="4"/>
        <v>0</v>
      </c>
      <c r="I25" s="35"/>
      <c r="J25" s="36"/>
      <c r="K25" s="29"/>
      <c r="N25" s="50"/>
      <c r="O25" s="18"/>
      <c r="P25" s="18"/>
      <c r="Q25" s="18"/>
      <c r="S25"/>
      <c r="T25"/>
      <c r="V25" s="15">
        <f>IFERROR((basicLWB-VLOOKUP(B25,$M$10:$N$18,2,FALSE))*E25*F25,0)</f>
        <v>0</v>
      </c>
      <c r="W25" s="12" t="e">
        <f t="shared" si="7"/>
        <v>#DIV/0!</v>
      </c>
      <c r="X25" s="11"/>
      <c r="Y25" s="4"/>
      <c r="Z25" s="4"/>
      <c r="AA25" s="4"/>
    </row>
    <row r="26" spans="1:27" ht="16.5" customHeight="1" x14ac:dyDescent="0.3">
      <c r="A26" s="27"/>
      <c r="B26" s="13"/>
      <c r="C26" s="3"/>
      <c r="D26" s="7"/>
      <c r="E26" s="5"/>
      <c r="F26" s="105">
        <f t="shared" si="0"/>
        <v>0</v>
      </c>
      <c r="G26" s="106">
        <f t="shared" si="1"/>
        <v>0</v>
      </c>
      <c r="H26" s="107">
        <f t="shared" si="4"/>
        <v>0</v>
      </c>
      <c r="I26" s="35"/>
      <c r="J26" s="36"/>
      <c r="K26" s="29"/>
      <c r="N26" s="50"/>
      <c r="O26" s="18"/>
      <c r="P26" s="18"/>
      <c r="Q26" s="18"/>
      <c r="S26"/>
      <c r="T26"/>
      <c r="V26" s="15">
        <f>IFERROR((basicLWB-VLOOKUP(B26,$M$10:$N$18,2,FALSE))*E26*F26,0)</f>
        <v>0</v>
      </c>
      <c r="W26" s="12" t="e">
        <f t="shared" si="7"/>
        <v>#DIV/0!</v>
      </c>
      <c r="X26" s="11"/>
      <c r="Y26" s="4"/>
      <c r="Z26" s="4"/>
      <c r="AA26" s="4"/>
    </row>
    <row r="27" spans="1:27" ht="16.5" customHeight="1" x14ac:dyDescent="0.3">
      <c r="A27" s="27"/>
      <c r="B27" s="13"/>
      <c r="C27" s="3"/>
      <c r="D27" s="7"/>
      <c r="E27" s="5"/>
      <c r="F27" s="105">
        <f t="shared" si="0"/>
        <v>0</v>
      </c>
      <c r="G27" s="106">
        <f t="shared" si="1"/>
        <v>0</v>
      </c>
      <c r="H27" s="107">
        <f t="shared" si="4"/>
        <v>0</v>
      </c>
      <c r="I27" s="35"/>
      <c r="J27" s="36"/>
      <c r="K27" s="29"/>
      <c r="N27" s="50"/>
      <c r="O27" s="18"/>
      <c r="P27" s="18"/>
      <c r="Q27" s="18"/>
      <c r="S27"/>
      <c r="T27"/>
      <c r="V27" s="15">
        <f>IFERROR((basicLWB-VLOOKUP(B27,$M$10:$N$18,2,FALSE))*E27*F27,0)</f>
        <v>0</v>
      </c>
      <c r="W27" s="12" t="e">
        <f t="shared" si="7"/>
        <v>#DIV/0!</v>
      </c>
      <c r="X27" s="11"/>
      <c r="Y27" s="4"/>
      <c r="Z27" s="4"/>
      <c r="AA27" s="4"/>
    </row>
    <row r="28" spans="1:27" ht="16.5" customHeight="1" x14ac:dyDescent="0.3">
      <c r="A28" s="27"/>
      <c r="B28" s="13"/>
      <c r="C28" s="3"/>
      <c r="D28" s="7"/>
      <c r="E28" s="5"/>
      <c r="F28" s="105">
        <f t="shared" si="0"/>
        <v>0</v>
      </c>
      <c r="G28" s="106">
        <f t="shared" si="1"/>
        <v>0</v>
      </c>
      <c r="H28" s="107">
        <f t="shared" si="4"/>
        <v>0</v>
      </c>
      <c r="I28" s="35"/>
      <c r="J28" s="36"/>
      <c r="K28" s="29"/>
      <c r="N28" s="50"/>
      <c r="O28" s="18"/>
      <c r="P28" s="18"/>
      <c r="Q28" s="18"/>
      <c r="S28"/>
      <c r="T28"/>
      <c r="V28" s="15">
        <f>IFERROR((basicLWB-VLOOKUP(B28,$M$10:$N$18,2,FALSE))*E28*F28,0)</f>
        <v>0</v>
      </c>
      <c r="W28" s="12" t="e">
        <f t="shared" si="7"/>
        <v>#DIV/0!</v>
      </c>
      <c r="X28" s="11"/>
      <c r="Y28" s="4"/>
      <c r="Z28" s="4"/>
      <c r="AA28" s="4"/>
    </row>
    <row r="29" spans="1:27" ht="16.5" customHeight="1" x14ac:dyDescent="0.3">
      <c r="A29" s="27"/>
      <c r="B29" s="13"/>
      <c r="C29" s="3"/>
      <c r="D29" s="7"/>
      <c r="E29" s="5"/>
      <c r="F29" s="105">
        <f t="shared" si="0"/>
        <v>0</v>
      </c>
      <c r="G29" s="106">
        <f t="shared" si="1"/>
        <v>0</v>
      </c>
      <c r="H29" s="107">
        <f t="shared" si="4"/>
        <v>0</v>
      </c>
      <c r="I29" s="35"/>
      <c r="J29" s="17"/>
      <c r="K29" s="29"/>
      <c r="N29" s="50"/>
      <c r="O29" s="18"/>
      <c r="P29" s="18"/>
      <c r="Q29" s="18"/>
      <c r="S29"/>
      <c r="T29"/>
      <c r="V29" s="15">
        <f>IFERROR((basicLWB-VLOOKUP(B29,$M$10:$N$18,2,FALSE))*E29*F29,0)</f>
        <v>0</v>
      </c>
      <c r="W29" s="12" t="e">
        <f t="shared" si="7"/>
        <v>#DIV/0!</v>
      </c>
      <c r="X29" s="11"/>
      <c r="Y29" s="4"/>
      <c r="Z29" s="4"/>
      <c r="AA29" s="4"/>
    </row>
    <row r="30" spans="1:27" ht="16.5" customHeight="1" x14ac:dyDescent="0.3">
      <c r="A30" s="27"/>
      <c r="B30" s="13"/>
      <c r="C30" s="3"/>
      <c r="D30" s="7"/>
      <c r="E30" s="5"/>
      <c r="F30" s="105">
        <f t="shared" si="0"/>
        <v>0</v>
      </c>
      <c r="G30" s="106">
        <f t="shared" si="1"/>
        <v>0</v>
      </c>
      <c r="H30" s="107">
        <f t="shared" si="4"/>
        <v>0</v>
      </c>
      <c r="I30" s="35"/>
      <c r="J30" s="37"/>
      <c r="K30" s="29"/>
      <c r="N30" s="50"/>
      <c r="O30" s="18"/>
      <c r="P30" s="18"/>
      <c r="Q30" s="18"/>
      <c r="S30"/>
      <c r="T30"/>
      <c r="V30" s="15">
        <f>IFERROR((basicLWB-VLOOKUP(B30,$M$10:$N$18,2,FALSE))*E30*F30,0)</f>
        <v>0</v>
      </c>
      <c r="W30" s="12" t="e">
        <f t="shared" si="7"/>
        <v>#DIV/0!</v>
      </c>
      <c r="X30" s="11"/>
      <c r="Y30" s="4"/>
      <c r="Z30" s="4"/>
      <c r="AA30" s="4"/>
    </row>
    <row r="31" spans="1:27" ht="16.5" customHeight="1" x14ac:dyDescent="0.3">
      <c r="A31" s="27"/>
      <c r="B31" s="13"/>
      <c r="C31" s="3"/>
      <c r="D31" s="7"/>
      <c r="E31" s="5"/>
      <c r="F31" s="105">
        <f t="shared" si="0"/>
        <v>0</v>
      </c>
      <c r="G31" s="106">
        <f t="shared" si="1"/>
        <v>0</v>
      </c>
      <c r="H31" s="107">
        <f t="shared" si="4"/>
        <v>0</v>
      </c>
      <c r="I31" s="35"/>
      <c r="J31" s="17"/>
      <c r="K31" s="29"/>
      <c r="N31" s="50"/>
      <c r="O31" s="18"/>
      <c r="P31" s="18"/>
      <c r="Q31" s="18"/>
      <c r="S31"/>
      <c r="T31"/>
      <c r="V31" s="15">
        <f>IFERROR((basicLWB-VLOOKUP(B31,$M$10:$N$18,2,FALSE))*E31*F31,0)</f>
        <v>0</v>
      </c>
      <c r="W31" s="12" t="e">
        <f t="shared" si="7"/>
        <v>#DIV/0!</v>
      </c>
      <c r="X31" s="11"/>
      <c r="Y31" s="4"/>
      <c r="Z31" s="4"/>
      <c r="AA31" s="4"/>
    </row>
    <row r="32" spans="1:27" ht="16.5" customHeight="1" x14ac:dyDescent="0.3">
      <c r="A32" s="27"/>
      <c r="B32" s="14"/>
      <c r="C32" s="3"/>
      <c r="D32" s="1"/>
      <c r="E32" s="5"/>
      <c r="F32" s="105">
        <f t="shared" si="0"/>
        <v>0</v>
      </c>
      <c r="G32" s="106">
        <f t="shared" si="1"/>
        <v>0</v>
      </c>
      <c r="H32" s="107">
        <f t="shared" si="4"/>
        <v>0</v>
      </c>
      <c r="I32" s="35"/>
      <c r="J32" s="17"/>
      <c r="K32" s="29"/>
      <c r="N32" s="50"/>
      <c r="O32" s="18"/>
      <c r="P32" s="18"/>
      <c r="Q32" s="18"/>
      <c r="S32"/>
      <c r="T32"/>
      <c r="V32" s="15">
        <f>IFERROR((basicLWB-VLOOKUP(B32,$M$10:$N$18,2,FALSE))*E32*F32,0)</f>
        <v>0</v>
      </c>
      <c r="W32" s="12" t="e">
        <f t="shared" si="7"/>
        <v>#DIV/0!</v>
      </c>
      <c r="X32" s="11"/>
      <c r="Y32" s="4"/>
      <c r="Z32" s="4"/>
      <c r="AA32" s="4"/>
    </row>
    <row r="33" spans="1:27" ht="16.5" customHeight="1" x14ac:dyDescent="0.3">
      <c r="A33" s="27"/>
      <c r="B33" s="14"/>
      <c r="C33" s="3"/>
      <c r="D33" s="1"/>
      <c r="E33" s="5"/>
      <c r="F33" s="105">
        <f t="shared" si="0"/>
        <v>0</v>
      </c>
      <c r="G33" s="106">
        <f t="shared" si="1"/>
        <v>0</v>
      </c>
      <c r="H33" s="107">
        <f t="shared" si="4"/>
        <v>0</v>
      </c>
      <c r="I33" s="35"/>
      <c r="J33" s="17"/>
      <c r="K33" s="29"/>
      <c r="O33" s="18"/>
      <c r="P33" s="18"/>
      <c r="Q33" s="18"/>
      <c r="S33"/>
      <c r="T33"/>
      <c r="V33" s="15">
        <f>IFERROR((basicLWB-VLOOKUP(B33,$M$10:$N$18,2,FALSE))*E33*F33,0)</f>
        <v>0</v>
      </c>
      <c r="W33" s="12" t="e">
        <f t="shared" si="7"/>
        <v>#DIV/0!</v>
      </c>
      <c r="X33" s="11"/>
      <c r="Y33" s="4"/>
      <c r="Z33" s="4"/>
      <c r="AA33" s="4"/>
    </row>
    <row r="34" spans="1:27" ht="16.5" customHeight="1" x14ac:dyDescent="0.3">
      <c r="A34" s="27"/>
      <c r="B34" s="14"/>
      <c r="C34" s="3"/>
      <c r="D34" s="1"/>
      <c r="E34" s="5"/>
      <c r="F34" s="105">
        <f t="shared" si="0"/>
        <v>0</v>
      </c>
      <c r="G34" s="106">
        <f t="shared" si="1"/>
        <v>0</v>
      </c>
      <c r="H34" s="107">
        <f t="shared" si="4"/>
        <v>0</v>
      </c>
      <c r="I34" s="35"/>
      <c r="J34" s="17"/>
      <c r="K34" s="29"/>
      <c r="O34" s="18"/>
      <c r="P34" s="18"/>
      <c r="Q34" s="18"/>
      <c r="S34"/>
      <c r="T34"/>
      <c r="V34" s="15">
        <f>IFERROR((basicLWB-VLOOKUP(B34,$M$10:$N$18,2,FALSE))*E34*F34,0)</f>
        <v>0</v>
      </c>
      <c r="W34" s="12" t="e">
        <f t="shared" ref="W34:W40" si="8">+V34/LWgap</f>
        <v>#DIV/0!</v>
      </c>
      <c r="X34" s="11"/>
      <c r="Y34" s="4"/>
      <c r="Z34" s="4"/>
      <c r="AA34" s="4"/>
    </row>
    <row r="35" spans="1:27" ht="16.5" customHeight="1" x14ac:dyDescent="0.3">
      <c r="A35" s="27"/>
      <c r="B35" s="14"/>
      <c r="C35" s="3"/>
      <c r="D35" s="1"/>
      <c r="E35" s="5"/>
      <c r="F35" s="105">
        <f t="shared" si="0"/>
        <v>0</v>
      </c>
      <c r="G35" s="106">
        <f t="shared" si="1"/>
        <v>0</v>
      </c>
      <c r="H35" s="107">
        <f t="shared" si="4"/>
        <v>0</v>
      </c>
      <c r="I35" s="35"/>
      <c r="J35" s="17"/>
      <c r="K35" s="29"/>
      <c r="O35" s="18"/>
      <c r="P35" s="18"/>
      <c r="Q35" s="18"/>
      <c r="S35"/>
      <c r="T35"/>
      <c r="V35" s="15">
        <f>IFERROR((basicLWB-VLOOKUP(B35,$M$10:$N$18,2,FALSE))*E35*F35,0)</f>
        <v>0</v>
      </c>
      <c r="W35" s="12" t="e">
        <f t="shared" si="8"/>
        <v>#DIV/0!</v>
      </c>
      <c r="X35" s="11"/>
      <c r="Y35" s="4"/>
      <c r="Z35" s="4"/>
      <c r="AA35" s="4"/>
    </row>
    <row r="36" spans="1:27" ht="16.5" customHeight="1" x14ac:dyDescent="0.3">
      <c r="A36" s="27"/>
      <c r="B36" s="14"/>
      <c r="C36" s="3"/>
      <c r="D36" s="1"/>
      <c r="E36" s="5"/>
      <c r="F36" s="105">
        <f t="shared" si="0"/>
        <v>0</v>
      </c>
      <c r="G36" s="106">
        <f t="shared" si="1"/>
        <v>0</v>
      </c>
      <c r="H36" s="107">
        <f t="shared" si="4"/>
        <v>0</v>
      </c>
      <c r="I36" s="35"/>
      <c r="J36" s="37"/>
      <c r="K36" s="29"/>
      <c r="O36" s="18"/>
      <c r="P36" s="18"/>
      <c r="Q36" s="18"/>
      <c r="S36"/>
      <c r="T36"/>
      <c r="V36" s="15">
        <f>IFERROR((basicLWB-VLOOKUP(B36,$M$10:$N$18,2,FALSE))*E36*F36,0)</f>
        <v>0</v>
      </c>
      <c r="W36" s="12" t="e">
        <f t="shared" si="8"/>
        <v>#DIV/0!</v>
      </c>
      <c r="X36" s="11"/>
      <c r="Y36" s="4"/>
      <c r="Z36" s="4"/>
      <c r="AA36" s="4"/>
    </row>
    <row r="37" spans="1:27" ht="16.5" customHeight="1" x14ac:dyDescent="0.3">
      <c r="A37" s="27"/>
      <c r="B37" s="14"/>
      <c r="C37" s="3"/>
      <c r="D37" s="1"/>
      <c r="E37" s="5"/>
      <c r="F37" s="105">
        <f t="shared" si="0"/>
        <v>0</v>
      </c>
      <c r="G37" s="106">
        <f t="shared" si="1"/>
        <v>0</v>
      </c>
      <c r="H37" s="107">
        <f t="shared" si="4"/>
        <v>0</v>
      </c>
      <c r="I37" s="35"/>
      <c r="J37" s="37"/>
      <c r="K37" s="29"/>
      <c r="O37" s="18"/>
      <c r="P37" s="18"/>
      <c r="Q37" s="18"/>
      <c r="S37"/>
      <c r="T37"/>
      <c r="V37" s="15">
        <f>IFERROR((basicLWB-VLOOKUP(B37,$M$10:$N$18,2,FALSE))*E37*F37,0)</f>
        <v>0</v>
      </c>
      <c r="W37" s="12" t="e">
        <f t="shared" si="8"/>
        <v>#DIV/0!</v>
      </c>
      <c r="X37" s="11"/>
      <c r="Y37" s="4"/>
      <c r="Z37" s="4"/>
      <c r="AA37" s="4"/>
    </row>
    <row r="38" spans="1:27" ht="16.5" customHeight="1" x14ac:dyDescent="0.3">
      <c r="A38" s="27"/>
      <c r="B38" s="14"/>
      <c r="C38" s="3"/>
      <c r="D38" s="1"/>
      <c r="E38" s="5"/>
      <c r="F38" s="105">
        <f t="shared" si="0"/>
        <v>0</v>
      </c>
      <c r="G38" s="106">
        <f t="shared" si="1"/>
        <v>0</v>
      </c>
      <c r="H38" s="107">
        <f t="shared" si="4"/>
        <v>0</v>
      </c>
      <c r="I38" s="35"/>
      <c r="J38" s="17"/>
      <c r="K38" s="29"/>
      <c r="O38" s="18"/>
      <c r="P38" s="18"/>
      <c r="Q38" s="18"/>
      <c r="S38"/>
      <c r="T38"/>
      <c r="V38" s="15">
        <f>IFERROR((basicLWB-VLOOKUP(B38,$M$10:$N$18,2,FALSE))*E38*F38,0)</f>
        <v>0</v>
      </c>
      <c r="W38" s="12" t="e">
        <f t="shared" si="8"/>
        <v>#DIV/0!</v>
      </c>
      <c r="X38" s="11"/>
      <c r="Y38" s="4"/>
      <c r="Z38" s="4"/>
      <c r="AA38" s="4"/>
    </row>
    <row r="39" spans="1:27" ht="16.5" customHeight="1" x14ac:dyDescent="0.3">
      <c r="A39" s="27"/>
      <c r="B39" s="14"/>
      <c r="C39" s="3"/>
      <c r="D39" s="1"/>
      <c r="E39" s="5"/>
      <c r="F39" s="105">
        <f t="shared" si="0"/>
        <v>0</v>
      </c>
      <c r="G39" s="106">
        <f t="shared" si="1"/>
        <v>0</v>
      </c>
      <c r="H39" s="107">
        <f t="shared" si="4"/>
        <v>0</v>
      </c>
      <c r="I39" s="35"/>
      <c r="J39" s="17"/>
      <c r="K39" s="29"/>
      <c r="O39" s="18"/>
      <c r="P39" s="18"/>
      <c r="Q39" s="18"/>
      <c r="S39"/>
      <c r="T39"/>
      <c r="V39" s="15">
        <f>IFERROR((basicLWB-VLOOKUP(B39,$M$10:$N$18,2,FALSE))*E39*F39,0)</f>
        <v>0</v>
      </c>
      <c r="W39" s="12" t="e">
        <f t="shared" si="8"/>
        <v>#DIV/0!</v>
      </c>
      <c r="X39" s="11"/>
      <c r="Y39" s="4"/>
      <c r="Z39" s="4"/>
      <c r="AA39" s="4"/>
    </row>
    <row r="40" spans="1:27" ht="16.5" customHeight="1" thickBot="1" x14ac:dyDescent="0.35">
      <c r="A40" s="27"/>
      <c r="B40" s="14"/>
      <c r="C40" s="3"/>
      <c r="D40" s="1"/>
      <c r="E40" s="5"/>
      <c r="F40" s="105">
        <f t="shared" si="0"/>
        <v>0</v>
      </c>
      <c r="G40" s="106">
        <f t="shared" si="1"/>
        <v>0</v>
      </c>
      <c r="H40" s="107">
        <f t="shared" si="4"/>
        <v>0</v>
      </c>
      <c r="I40" s="35"/>
      <c r="J40" s="17"/>
      <c r="K40" s="29"/>
      <c r="O40" s="18"/>
      <c r="P40" s="18"/>
      <c r="Q40" s="18"/>
      <c r="S40"/>
      <c r="T40"/>
      <c r="V40" s="15">
        <f>IFERROR((basicLWB-VLOOKUP(B40,$M$10:$N$18,2,FALSE))*E40*F40,0)</f>
        <v>0</v>
      </c>
      <c r="W40" s="12" t="e">
        <f t="shared" si="8"/>
        <v>#DIV/0!</v>
      </c>
      <c r="X40" s="11"/>
      <c r="Y40" s="4"/>
      <c r="Z40" s="4"/>
      <c r="AA40" s="4"/>
    </row>
    <row r="41" spans="1:27" ht="16.5" customHeight="1" thickBot="1" x14ac:dyDescent="0.35">
      <c r="A41" s="27"/>
      <c r="B41" s="100" t="s">
        <v>0</v>
      </c>
      <c r="C41" s="101">
        <f>SUM(C10:C40)</f>
        <v>0</v>
      </c>
      <c r="D41" s="101"/>
      <c r="E41" s="102"/>
      <c r="F41" s="102">
        <f>SUM(F10:F40)</f>
        <v>0</v>
      </c>
      <c r="G41" s="103">
        <f>SUM(G10:G40)</f>
        <v>0</v>
      </c>
      <c r="H41" s="104"/>
      <c r="I41" s="38"/>
      <c r="J41" s="17"/>
      <c r="K41" s="29"/>
      <c r="O41" s="18"/>
      <c r="P41" s="18"/>
      <c r="Q41" s="18"/>
      <c r="S41"/>
      <c r="T41"/>
      <c r="V41" s="16">
        <f>SUM(V10:V40)</f>
        <v>0</v>
      </c>
      <c r="W41" s="9" t="e">
        <f>SUM(W10:W40)</f>
        <v>#DIV/0!</v>
      </c>
      <c r="X41" s="11"/>
      <c r="Y41" s="4"/>
      <c r="Z41" s="4"/>
      <c r="AA41" s="4"/>
    </row>
    <row r="42" spans="1:27" ht="15.75" customHeight="1" thickBot="1" x14ac:dyDescent="0.35">
      <c r="A42" s="27"/>
      <c r="B42" s="17"/>
      <c r="C42" s="17"/>
      <c r="D42" s="17"/>
      <c r="E42" s="17"/>
      <c r="F42" s="17"/>
      <c r="G42" s="17"/>
      <c r="H42" s="17"/>
      <c r="I42" s="17"/>
      <c r="J42" s="17"/>
      <c r="K42" s="29"/>
      <c r="O42" s="18"/>
      <c r="P42" s="18"/>
      <c r="Q42" s="18"/>
      <c r="S42"/>
      <c r="T42"/>
    </row>
    <row r="43" spans="1:27" ht="15.75" customHeight="1" thickBot="1" x14ac:dyDescent="0.35">
      <c r="A43" s="27"/>
      <c r="B43" s="130" t="s">
        <v>1</v>
      </c>
      <c r="C43" s="131"/>
      <c r="D43" s="124" t="s">
        <v>15</v>
      </c>
      <c r="E43" s="125"/>
      <c r="F43" s="125"/>
      <c r="G43" s="126"/>
      <c r="H43" s="104">
        <f>+D6*0.3</f>
        <v>0</v>
      </c>
      <c r="I43" s="45" t="str">
        <f>T9&amp;"/periodo de "&amp;D5&amp;" meses"</f>
        <v>córdobas/periodo de  meses</v>
      </c>
      <c r="J43" s="17"/>
      <c r="K43" s="29"/>
      <c r="O43" s="18"/>
      <c r="P43" s="18"/>
      <c r="Q43" s="18"/>
      <c r="S43"/>
      <c r="T43"/>
    </row>
    <row r="44" spans="1:27" ht="15.75" customHeight="1" thickBot="1" x14ac:dyDescent="0.35">
      <c r="A44" s="27"/>
      <c r="B44" s="132"/>
      <c r="C44" s="133"/>
      <c r="D44" s="127" t="s">
        <v>52</v>
      </c>
      <c r="E44" s="128"/>
      <c r="F44" s="128"/>
      <c r="G44" s="129"/>
      <c r="H44" s="104">
        <f>G41</f>
        <v>0</v>
      </c>
      <c r="I44" s="45" t="str">
        <f>I43</f>
        <v>córdobas/periodo de  meses</v>
      </c>
      <c r="J44" s="17"/>
      <c r="K44" s="29"/>
      <c r="O44" s="18"/>
      <c r="P44" s="18"/>
      <c r="Q44" s="18"/>
      <c r="S44"/>
      <c r="T44"/>
    </row>
    <row r="45" spans="1:27" ht="6.75" customHeight="1" x14ac:dyDescent="0.3">
      <c r="A45" s="27"/>
      <c r="B45" s="17"/>
      <c r="C45" s="17"/>
      <c r="D45" s="17"/>
      <c r="E45" s="17"/>
      <c r="F45" s="17"/>
      <c r="G45" s="17"/>
      <c r="H45" s="17"/>
      <c r="I45" s="17"/>
      <c r="J45" s="17"/>
      <c r="K45" s="29"/>
      <c r="O45" s="18"/>
      <c r="P45" s="18"/>
      <c r="Q45" s="18"/>
      <c r="S45"/>
      <c r="T45"/>
    </row>
    <row r="46" spans="1:27" ht="15.75" customHeight="1" x14ac:dyDescent="0.3">
      <c r="A46" s="27"/>
      <c r="B46" s="17"/>
      <c r="C46" s="17"/>
      <c r="D46" s="17"/>
      <c r="E46" s="17"/>
      <c r="F46" s="17"/>
      <c r="G46" s="17"/>
      <c r="H46" s="17"/>
      <c r="I46" s="17"/>
      <c r="J46" s="17"/>
      <c r="K46" s="29"/>
      <c r="O46" s="18"/>
      <c r="P46" s="18"/>
      <c r="Q46" s="18"/>
      <c r="S46"/>
      <c r="T46"/>
    </row>
    <row r="47" spans="1:27" ht="15" thickBot="1" x14ac:dyDescent="0.35">
      <c r="A47" s="39"/>
      <c r="B47" s="40"/>
      <c r="C47" s="40"/>
      <c r="D47" s="40"/>
      <c r="E47" s="40"/>
      <c r="F47" s="40"/>
      <c r="G47" s="40"/>
      <c r="H47" s="40"/>
      <c r="I47" s="40"/>
      <c r="J47" s="40"/>
      <c r="K47" s="41"/>
      <c r="O47" s="18"/>
      <c r="P47" s="18"/>
      <c r="Q47" s="18"/>
      <c r="S47"/>
      <c r="T47"/>
    </row>
    <row r="48" spans="1:27" x14ac:dyDescent="0.3">
      <c r="M48" s="108"/>
      <c r="O48" s="42"/>
      <c r="P48" s="42"/>
      <c r="Q48" s="42"/>
      <c r="R48" s="46"/>
      <c r="S48" s="43"/>
      <c r="T48" s="46"/>
    </row>
    <row r="49" spans="13:20" ht="15.6" x14ac:dyDescent="0.3">
      <c r="M49" s="52"/>
      <c r="N49" s="53"/>
      <c r="O49" s="54"/>
      <c r="P49" s="55"/>
      <c r="Q49" s="42"/>
      <c r="R49" s="56"/>
      <c r="S49" s="46"/>
      <c r="T49" s="46"/>
    </row>
    <row r="50" spans="13:20" ht="15.6" x14ac:dyDescent="0.3">
      <c r="M50" s="52"/>
      <c r="N50" s="53"/>
      <c r="O50" s="55"/>
      <c r="P50" s="55"/>
      <c r="Q50" s="42"/>
      <c r="R50" s="56"/>
      <c r="S50" s="46"/>
      <c r="T50" s="46"/>
    </row>
    <row r="51" spans="13:20" ht="15.6" x14ac:dyDescent="0.3">
      <c r="M51" s="52"/>
      <c r="N51" s="53"/>
      <c r="O51" s="55"/>
      <c r="P51" s="55"/>
      <c r="Q51" s="42"/>
      <c r="R51" s="56"/>
      <c r="S51" s="46"/>
      <c r="T51" s="46"/>
    </row>
    <row r="52" spans="13:20" ht="15.6" x14ac:dyDescent="0.3">
      <c r="M52" s="52"/>
      <c r="N52" s="53"/>
      <c r="O52" s="55"/>
      <c r="P52" s="55"/>
      <c r="Q52" s="42"/>
      <c r="R52" s="56"/>
      <c r="S52" s="46"/>
      <c r="T52" s="46"/>
    </row>
    <row r="53" spans="13:20" ht="15.6" x14ac:dyDescent="0.3">
      <c r="M53" s="52"/>
      <c r="N53" s="53"/>
      <c r="O53" s="55"/>
      <c r="P53" s="55"/>
      <c r="Q53" s="42"/>
      <c r="R53" s="56"/>
      <c r="S53" s="46"/>
      <c r="T53" s="46"/>
    </row>
    <row r="54" spans="13:20" ht="15.6" x14ac:dyDescent="0.3">
      <c r="M54" s="52"/>
      <c r="N54" s="53"/>
      <c r="O54" s="55"/>
      <c r="P54" s="55"/>
      <c r="Q54" s="42"/>
      <c r="R54" s="56"/>
      <c r="S54" s="46"/>
      <c r="T54" s="46"/>
    </row>
    <row r="55" spans="13:20" ht="15.6" x14ac:dyDescent="0.3">
      <c r="M55" s="52"/>
      <c r="N55" s="53"/>
      <c r="O55" s="55"/>
      <c r="P55" s="55"/>
      <c r="Q55" s="42"/>
      <c r="R55" s="56"/>
      <c r="S55" s="46"/>
      <c r="T55" s="46"/>
    </row>
    <row r="56" spans="13:20" ht="15.6" x14ac:dyDescent="0.3">
      <c r="M56" s="52"/>
      <c r="N56" s="53"/>
      <c r="O56" s="55"/>
      <c r="P56" s="55"/>
      <c r="Q56" s="42"/>
      <c r="R56" s="56"/>
      <c r="S56" s="46"/>
      <c r="T56" s="46"/>
    </row>
    <row r="57" spans="13:20" ht="15.6" x14ac:dyDescent="0.3">
      <c r="M57" s="52"/>
      <c r="N57" s="53"/>
      <c r="O57" s="55"/>
      <c r="P57" s="54"/>
      <c r="Q57" s="42"/>
      <c r="R57" s="56"/>
      <c r="S57" s="46"/>
      <c r="T57" s="46"/>
    </row>
    <row r="58" spans="13:20" x14ac:dyDescent="0.3">
      <c r="O58" s="57"/>
      <c r="P58" s="109"/>
      <c r="Q58" s="42"/>
      <c r="R58" s="46"/>
      <c r="S58" s="46"/>
      <c r="T58" s="46"/>
    </row>
    <row r="59" spans="13:20" x14ac:dyDescent="0.3">
      <c r="M59" s="108"/>
      <c r="O59" s="42"/>
      <c r="P59" s="42"/>
      <c r="Q59" s="42"/>
      <c r="R59" s="46"/>
      <c r="S59" s="43"/>
      <c r="T59" s="46"/>
    </row>
    <row r="60" spans="13:20" ht="15.6" x14ac:dyDescent="0.3">
      <c r="M60" s="52"/>
      <c r="N60" s="53"/>
      <c r="O60" s="54"/>
      <c r="P60" s="55"/>
      <c r="Q60" s="42"/>
      <c r="R60" s="56"/>
      <c r="S60" s="46"/>
      <c r="T60" s="46"/>
    </row>
    <row r="61" spans="13:20" ht="15.6" x14ac:dyDescent="0.3">
      <c r="M61" s="52"/>
      <c r="N61" s="53"/>
      <c r="O61" s="55"/>
      <c r="P61" s="55"/>
      <c r="Q61" s="42"/>
      <c r="R61" s="56"/>
      <c r="S61" s="46"/>
      <c r="T61" s="46"/>
    </row>
    <row r="62" spans="13:20" ht="15.6" x14ac:dyDescent="0.3">
      <c r="M62" s="52"/>
      <c r="N62" s="53"/>
      <c r="O62" s="55"/>
      <c r="P62" s="55"/>
      <c r="Q62" s="42"/>
      <c r="R62" s="56"/>
      <c r="S62" s="46"/>
      <c r="T62" s="46"/>
    </row>
    <row r="63" spans="13:20" ht="15.6" x14ac:dyDescent="0.3">
      <c r="M63" s="52"/>
      <c r="N63" s="53"/>
      <c r="O63" s="55"/>
      <c r="P63" s="55"/>
      <c r="Q63" s="42"/>
      <c r="R63" s="56"/>
      <c r="S63" s="46"/>
      <c r="T63" s="46"/>
    </row>
    <row r="64" spans="13:20" ht="15.6" x14ac:dyDescent="0.3">
      <c r="M64" s="52"/>
      <c r="N64" s="53"/>
      <c r="O64" s="55"/>
      <c r="P64" s="55"/>
      <c r="Q64" s="42"/>
      <c r="R64" s="56"/>
      <c r="S64" s="46"/>
      <c r="T64" s="46"/>
    </row>
    <row r="65" spans="13:20" ht="15.6" x14ac:dyDescent="0.3">
      <c r="M65" s="52"/>
      <c r="N65" s="53"/>
      <c r="O65" s="55"/>
      <c r="P65" s="55"/>
      <c r="Q65" s="42"/>
      <c r="R65" s="56"/>
      <c r="S65" s="46"/>
      <c r="T65" s="46"/>
    </row>
    <row r="66" spans="13:20" ht="15.6" x14ac:dyDescent="0.3">
      <c r="M66" s="52"/>
      <c r="N66" s="53"/>
      <c r="O66" s="55"/>
      <c r="P66" s="55"/>
      <c r="Q66" s="42"/>
      <c r="R66" s="56"/>
      <c r="S66" s="46"/>
      <c r="T66" s="46"/>
    </row>
    <row r="67" spans="13:20" ht="15.6" x14ac:dyDescent="0.3">
      <c r="M67" s="52"/>
      <c r="N67" s="53"/>
      <c r="O67" s="55"/>
      <c r="P67" s="55"/>
      <c r="Q67" s="42"/>
      <c r="R67" s="56"/>
      <c r="S67" s="46"/>
      <c r="T67" s="46"/>
    </row>
    <row r="68" spans="13:20" ht="15.6" x14ac:dyDescent="0.3">
      <c r="M68" s="52"/>
      <c r="N68" s="53"/>
      <c r="O68" s="55"/>
      <c r="P68" s="54"/>
      <c r="Q68" s="42"/>
      <c r="R68" s="56"/>
      <c r="S68" s="46"/>
      <c r="T68" s="46"/>
    </row>
    <row r="69" spans="13:20" x14ac:dyDescent="0.3">
      <c r="O69" s="57"/>
      <c r="P69" s="109"/>
      <c r="Q69" s="42"/>
      <c r="R69" s="46"/>
      <c r="S69" s="46"/>
      <c r="T69" s="46"/>
    </row>
    <row r="70" spans="13:20" x14ac:dyDescent="0.3">
      <c r="M70" s="47"/>
      <c r="O70" s="42"/>
      <c r="P70" s="42"/>
      <c r="Q70" s="42"/>
      <c r="R70" s="46"/>
      <c r="S70" s="43"/>
      <c r="T70" s="46"/>
    </row>
    <row r="71" spans="13:20" ht="15.6" x14ac:dyDescent="0.3">
      <c r="M71" s="52"/>
      <c r="N71" s="53"/>
      <c r="O71" s="54"/>
      <c r="P71" s="55"/>
      <c r="Q71" s="42"/>
      <c r="R71" s="56"/>
      <c r="S71" s="46"/>
      <c r="T71" s="46"/>
    </row>
    <row r="72" spans="13:20" ht="15.6" x14ac:dyDescent="0.3">
      <c r="M72" s="52"/>
      <c r="N72" s="53"/>
      <c r="O72" s="55"/>
      <c r="P72" s="55"/>
      <c r="Q72" s="42"/>
      <c r="R72" s="56"/>
      <c r="S72" s="46"/>
      <c r="T72" s="46"/>
    </row>
    <row r="73" spans="13:20" ht="15.6" x14ac:dyDescent="0.3">
      <c r="M73" s="52"/>
      <c r="N73" s="53"/>
      <c r="O73" s="55"/>
      <c r="P73" s="55"/>
      <c r="Q73" s="42"/>
      <c r="R73" s="56"/>
      <c r="S73" s="46"/>
      <c r="T73" s="46"/>
    </row>
    <row r="74" spans="13:20" ht="15.6" x14ac:dyDescent="0.3">
      <c r="M74" s="52"/>
      <c r="N74" s="53"/>
      <c r="O74" s="55"/>
      <c r="P74" s="55"/>
      <c r="Q74" s="42"/>
      <c r="R74" s="56"/>
      <c r="S74" s="46"/>
      <c r="T74" s="46"/>
    </row>
    <row r="75" spans="13:20" ht="15.6" x14ac:dyDescent="0.3">
      <c r="M75" s="52"/>
      <c r="N75" s="53"/>
      <c r="O75" s="55"/>
      <c r="P75" s="55"/>
      <c r="Q75" s="42"/>
      <c r="R75" s="56"/>
      <c r="S75" s="46"/>
      <c r="T75" s="46"/>
    </row>
    <row r="76" spans="13:20" ht="15.6" x14ac:dyDescent="0.3">
      <c r="M76" s="52"/>
      <c r="N76" s="53"/>
      <c r="O76" s="55"/>
      <c r="P76" s="55"/>
      <c r="Q76" s="42"/>
      <c r="R76" s="56"/>
      <c r="S76" s="46"/>
      <c r="T76" s="46"/>
    </row>
    <row r="77" spans="13:20" ht="15.6" x14ac:dyDescent="0.3">
      <c r="M77" s="52"/>
      <c r="N77" s="53"/>
      <c r="O77" s="55"/>
      <c r="P77" s="55"/>
      <c r="Q77" s="42"/>
      <c r="R77" s="56"/>
      <c r="S77" s="46"/>
      <c r="T77" s="46"/>
    </row>
    <row r="78" spans="13:20" ht="15.6" x14ac:dyDescent="0.3">
      <c r="M78" s="52"/>
      <c r="N78" s="53"/>
      <c r="O78" s="55"/>
      <c r="P78" s="55"/>
      <c r="Q78" s="42"/>
      <c r="R78" s="56"/>
      <c r="S78" s="46"/>
      <c r="T78" s="46"/>
    </row>
    <row r="79" spans="13:20" ht="15.6" x14ac:dyDescent="0.3">
      <c r="M79" s="52"/>
      <c r="N79" s="53"/>
      <c r="O79" s="55"/>
      <c r="P79" s="54"/>
      <c r="Q79" s="42"/>
      <c r="R79" s="56"/>
      <c r="S79" s="46"/>
      <c r="T79" s="46"/>
    </row>
    <row r="80" spans="13:20" x14ac:dyDescent="0.3">
      <c r="O80" s="57"/>
      <c r="P80" s="109"/>
      <c r="Q80" s="42"/>
      <c r="R80" s="46"/>
      <c r="S80" s="46"/>
      <c r="T80" s="46"/>
    </row>
    <row r="81" spans="13:20" x14ac:dyDescent="0.3">
      <c r="M81" s="47"/>
      <c r="O81" s="42"/>
      <c r="P81" s="42"/>
      <c r="Q81" s="42"/>
      <c r="R81" s="46"/>
      <c r="S81" s="43"/>
      <c r="T81" s="46"/>
    </row>
    <row r="82" spans="13:20" ht="15.6" x14ac:dyDescent="0.3">
      <c r="M82" s="52"/>
      <c r="N82" s="53"/>
      <c r="O82" s="54"/>
      <c r="P82" s="55"/>
      <c r="Q82" s="42"/>
      <c r="R82" s="56"/>
      <c r="S82" s="46"/>
      <c r="T82" s="46"/>
    </row>
    <row r="83" spans="13:20" ht="15.6" x14ac:dyDescent="0.3">
      <c r="M83" s="52"/>
      <c r="N83" s="53"/>
      <c r="O83" s="55"/>
      <c r="P83" s="55"/>
      <c r="Q83" s="42"/>
      <c r="R83" s="56"/>
      <c r="S83" s="46"/>
      <c r="T83" s="46"/>
    </row>
    <row r="84" spans="13:20" ht="15.6" x14ac:dyDescent="0.3">
      <c r="M84" s="52"/>
      <c r="N84" s="53"/>
      <c r="O84" s="55"/>
      <c r="P84" s="55"/>
      <c r="Q84" s="42"/>
      <c r="R84" s="56"/>
      <c r="S84" s="46"/>
      <c r="T84" s="46"/>
    </row>
    <row r="85" spans="13:20" ht="15.6" x14ac:dyDescent="0.3">
      <c r="M85" s="52"/>
      <c r="N85" s="53"/>
      <c r="O85" s="55"/>
      <c r="P85" s="55"/>
      <c r="Q85" s="42"/>
      <c r="R85" s="56"/>
      <c r="S85" s="46"/>
      <c r="T85" s="46"/>
    </row>
    <row r="86" spans="13:20" ht="15.6" x14ac:dyDescent="0.3">
      <c r="M86" s="52"/>
      <c r="N86" s="53"/>
      <c r="O86" s="55"/>
      <c r="P86" s="55"/>
      <c r="Q86" s="42"/>
      <c r="R86" s="56"/>
      <c r="S86" s="46"/>
      <c r="T86" s="46"/>
    </row>
    <row r="87" spans="13:20" ht="15.6" x14ac:dyDescent="0.3">
      <c r="M87" s="52"/>
      <c r="N87" s="53"/>
      <c r="O87" s="55"/>
      <c r="P87" s="55"/>
      <c r="Q87" s="42"/>
      <c r="R87" s="56"/>
      <c r="S87" s="46"/>
      <c r="T87" s="46"/>
    </row>
    <row r="88" spans="13:20" ht="15.6" x14ac:dyDescent="0.3">
      <c r="M88" s="52"/>
      <c r="N88" s="53"/>
      <c r="O88" s="55"/>
      <c r="P88" s="55"/>
      <c r="Q88" s="42"/>
      <c r="R88" s="56"/>
      <c r="S88" s="46"/>
      <c r="T88" s="46"/>
    </row>
    <row r="89" spans="13:20" ht="15.6" x14ac:dyDescent="0.3">
      <c r="M89" s="52"/>
      <c r="N89" s="53"/>
      <c r="O89" s="55"/>
      <c r="P89" s="55"/>
      <c r="Q89" s="42"/>
      <c r="R89" s="56"/>
      <c r="S89" s="46"/>
      <c r="T89" s="46"/>
    </row>
    <row r="90" spans="13:20" ht="15.6" x14ac:dyDescent="0.3">
      <c r="M90" s="52"/>
      <c r="N90" s="53"/>
      <c r="O90" s="55"/>
      <c r="P90" s="54"/>
      <c r="Q90" s="42"/>
      <c r="R90" s="56"/>
      <c r="S90" s="46"/>
      <c r="T90" s="46"/>
    </row>
    <row r="91" spans="13:20" x14ac:dyDescent="0.3">
      <c r="O91" s="57"/>
      <c r="P91" s="109"/>
      <c r="Q91" s="42"/>
      <c r="R91" s="46"/>
      <c r="S91" s="46"/>
      <c r="T91" s="46"/>
    </row>
    <row r="92" spans="13:20" x14ac:dyDescent="0.3">
      <c r="M92" s="47"/>
      <c r="O92" s="42"/>
      <c r="P92" s="42"/>
      <c r="Q92" s="42"/>
      <c r="R92" s="46"/>
      <c r="S92" s="43"/>
      <c r="T92" s="46"/>
    </row>
    <row r="93" spans="13:20" ht="15.6" x14ac:dyDescent="0.3">
      <c r="M93" s="52"/>
      <c r="N93" s="53"/>
      <c r="O93" s="54"/>
      <c r="P93" s="55"/>
      <c r="Q93" s="42"/>
      <c r="R93" s="56"/>
      <c r="S93" s="46"/>
      <c r="T93" s="46"/>
    </row>
    <row r="94" spans="13:20" ht="15.6" x14ac:dyDescent="0.3">
      <c r="M94" s="52"/>
      <c r="N94" s="53"/>
      <c r="O94" s="55"/>
      <c r="P94" s="55"/>
      <c r="Q94" s="42"/>
      <c r="R94" s="56"/>
      <c r="S94" s="46"/>
      <c r="T94" s="46"/>
    </row>
    <row r="95" spans="13:20" ht="15.6" x14ac:dyDescent="0.3">
      <c r="M95" s="52"/>
      <c r="N95" s="53"/>
      <c r="O95" s="55"/>
      <c r="P95" s="55"/>
      <c r="Q95" s="42"/>
      <c r="R95" s="56"/>
      <c r="S95" s="46"/>
      <c r="T95" s="46"/>
    </row>
    <row r="96" spans="13:20" ht="15.6" x14ac:dyDescent="0.3">
      <c r="M96" s="52"/>
      <c r="N96" s="53"/>
      <c r="O96" s="55"/>
      <c r="P96" s="55"/>
      <c r="Q96" s="42"/>
      <c r="R96" s="56"/>
      <c r="S96" s="46"/>
      <c r="T96" s="46"/>
    </row>
    <row r="97" spans="13:20" ht="15.6" x14ac:dyDescent="0.3">
      <c r="M97" s="52"/>
      <c r="N97" s="53"/>
      <c r="O97" s="55"/>
      <c r="P97" s="55"/>
      <c r="Q97" s="42"/>
      <c r="R97" s="56"/>
      <c r="S97" s="46"/>
      <c r="T97" s="46"/>
    </row>
    <row r="98" spans="13:20" ht="15.6" x14ac:dyDescent="0.3">
      <c r="M98" s="52"/>
      <c r="N98" s="53"/>
      <c r="O98" s="55"/>
      <c r="P98" s="55"/>
      <c r="Q98" s="42"/>
      <c r="R98" s="56"/>
      <c r="S98" s="46"/>
      <c r="T98" s="46"/>
    </row>
    <row r="99" spans="13:20" ht="15.6" x14ac:dyDescent="0.3">
      <c r="M99" s="52"/>
      <c r="N99" s="53"/>
      <c r="O99" s="55"/>
      <c r="P99" s="55"/>
      <c r="Q99" s="42"/>
      <c r="R99" s="56"/>
      <c r="S99" s="46"/>
      <c r="T99" s="46"/>
    </row>
    <row r="100" spans="13:20" ht="15.6" x14ac:dyDescent="0.3">
      <c r="M100" s="52"/>
      <c r="N100" s="53"/>
      <c r="O100" s="55"/>
      <c r="P100" s="55"/>
      <c r="Q100" s="42"/>
      <c r="R100" s="56"/>
      <c r="S100" s="46"/>
      <c r="T100" s="46"/>
    </row>
    <row r="101" spans="13:20" ht="15.6" x14ac:dyDescent="0.3">
      <c r="M101" s="52"/>
      <c r="N101" s="53"/>
      <c r="O101" s="55"/>
      <c r="P101" s="54"/>
      <c r="Q101" s="42"/>
      <c r="R101" s="56"/>
      <c r="S101" s="46"/>
      <c r="T101" s="46"/>
    </row>
    <row r="102" spans="13:20" x14ac:dyDescent="0.3">
      <c r="O102" s="57"/>
      <c r="P102" s="109"/>
      <c r="Q102" s="42"/>
      <c r="R102" s="46"/>
      <c r="S102" s="46"/>
      <c r="T102" s="46"/>
    </row>
    <row r="103" spans="13:20" x14ac:dyDescent="0.3">
      <c r="M103" s="47"/>
      <c r="O103" s="42"/>
      <c r="P103" s="42"/>
      <c r="Q103" s="42"/>
      <c r="R103" s="46"/>
      <c r="S103" s="43"/>
      <c r="T103" s="46"/>
    </row>
    <row r="104" spans="13:20" ht="15.6" x14ac:dyDescent="0.3">
      <c r="M104" s="52"/>
      <c r="N104" s="53"/>
      <c r="O104" s="54"/>
      <c r="P104" s="55"/>
      <c r="Q104" s="42"/>
      <c r="R104" s="56"/>
      <c r="S104" s="46"/>
      <c r="T104" s="46"/>
    </row>
    <row r="105" spans="13:20" ht="15.6" x14ac:dyDescent="0.3">
      <c r="M105" s="52"/>
      <c r="N105" s="53"/>
      <c r="O105" s="55"/>
      <c r="P105" s="55"/>
      <c r="Q105" s="42"/>
      <c r="R105" s="56"/>
      <c r="S105" s="46"/>
      <c r="T105" s="46"/>
    </row>
    <row r="106" spans="13:20" ht="15.6" x14ac:dyDescent="0.3">
      <c r="M106" s="52"/>
      <c r="N106" s="53"/>
      <c r="O106" s="55"/>
      <c r="P106" s="55"/>
      <c r="Q106" s="42"/>
      <c r="R106" s="56"/>
      <c r="S106" s="46"/>
      <c r="T106" s="46"/>
    </row>
    <row r="107" spans="13:20" ht="15.6" x14ac:dyDescent="0.3">
      <c r="M107" s="52"/>
      <c r="N107" s="53"/>
      <c r="O107" s="55"/>
      <c r="P107" s="55"/>
      <c r="Q107" s="42"/>
      <c r="R107" s="56"/>
      <c r="S107" s="46"/>
      <c r="T107" s="46"/>
    </row>
    <row r="108" spans="13:20" ht="15.6" x14ac:dyDescent="0.3">
      <c r="M108" s="52"/>
      <c r="N108" s="53"/>
      <c r="O108" s="55"/>
      <c r="P108" s="55"/>
      <c r="Q108" s="42"/>
      <c r="R108" s="56"/>
      <c r="S108" s="46"/>
      <c r="T108" s="46"/>
    </row>
    <row r="109" spans="13:20" ht="15.6" x14ac:dyDescent="0.3">
      <c r="M109" s="52"/>
      <c r="N109" s="53"/>
      <c r="O109" s="55"/>
      <c r="P109" s="55"/>
      <c r="Q109" s="42"/>
      <c r="R109" s="56"/>
      <c r="S109" s="46"/>
      <c r="T109" s="46"/>
    </row>
    <row r="110" spans="13:20" ht="15.6" x14ac:dyDescent="0.3">
      <c r="M110" s="52"/>
      <c r="N110" s="53"/>
      <c r="O110" s="55"/>
      <c r="P110" s="55"/>
      <c r="Q110" s="42"/>
      <c r="R110" s="56"/>
      <c r="S110" s="46"/>
      <c r="T110" s="46"/>
    </row>
    <row r="111" spans="13:20" ht="15.6" x14ac:dyDescent="0.3">
      <c r="M111" s="52"/>
      <c r="N111" s="53"/>
      <c r="O111" s="55"/>
      <c r="P111" s="55"/>
      <c r="Q111" s="42"/>
      <c r="R111" s="56"/>
      <c r="S111" s="46"/>
      <c r="T111" s="46"/>
    </row>
    <row r="112" spans="13:20" ht="15.6" x14ac:dyDescent="0.3">
      <c r="M112" s="52"/>
      <c r="N112" s="53"/>
      <c r="O112" s="55"/>
      <c r="P112" s="54"/>
      <c r="Q112" s="42"/>
      <c r="R112" s="56"/>
      <c r="S112" s="46"/>
      <c r="T112" s="46"/>
    </row>
    <row r="113" spans="13:20" x14ac:dyDescent="0.3">
      <c r="O113" s="57"/>
      <c r="P113" s="109"/>
      <c r="Q113" s="42"/>
      <c r="R113" s="46"/>
      <c r="S113" s="46"/>
      <c r="T113" s="46"/>
    </row>
    <row r="114" spans="13:20" x14ac:dyDescent="0.3">
      <c r="M114" s="47"/>
      <c r="O114" s="42"/>
      <c r="P114" s="42"/>
      <c r="Q114" s="42"/>
      <c r="R114" s="46"/>
      <c r="S114" s="43"/>
      <c r="T114" s="46"/>
    </row>
    <row r="115" spans="13:20" ht="15.6" x14ac:dyDescent="0.3">
      <c r="M115" s="52"/>
      <c r="N115" s="53"/>
      <c r="O115" s="54"/>
      <c r="P115" s="55"/>
      <c r="Q115" s="42"/>
      <c r="R115" s="56"/>
      <c r="S115" s="46"/>
      <c r="T115" s="46"/>
    </row>
    <row r="116" spans="13:20" ht="15.6" x14ac:dyDescent="0.3">
      <c r="M116" s="52"/>
      <c r="N116" s="53"/>
      <c r="O116" s="55"/>
      <c r="P116" s="55"/>
      <c r="Q116" s="42"/>
      <c r="R116" s="56"/>
      <c r="S116" s="46"/>
      <c r="T116" s="46"/>
    </row>
    <row r="117" spans="13:20" ht="15.6" x14ac:dyDescent="0.3">
      <c r="M117" s="52"/>
      <c r="N117" s="53"/>
      <c r="O117" s="55"/>
      <c r="P117" s="55"/>
      <c r="Q117" s="42"/>
      <c r="R117" s="56"/>
      <c r="S117" s="46"/>
      <c r="T117" s="46"/>
    </row>
    <row r="118" spans="13:20" ht="15.6" x14ac:dyDescent="0.3">
      <c r="M118" s="52"/>
      <c r="N118" s="53"/>
      <c r="O118" s="55"/>
      <c r="P118" s="55"/>
      <c r="Q118" s="42"/>
      <c r="R118" s="56"/>
      <c r="S118" s="46"/>
      <c r="T118" s="46"/>
    </row>
    <row r="119" spans="13:20" ht="15.6" x14ac:dyDescent="0.3">
      <c r="M119" s="52"/>
      <c r="N119" s="53"/>
      <c r="O119" s="55"/>
      <c r="P119" s="55"/>
      <c r="Q119" s="42"/>
      <c r="R119" s="56"/>
      <c r="S119" s="46"/>
      <c r="T119" s="46"/>
    </row>
    <row r="120" spans="13:20" ht="15.6" x14ac:dyDescent="0.3">
      <c r="M120" s="52"/>
      <c r="N120" s="53"/>
      <c r="O120" s="55"/>
      <c r="P120" s="55"/>
      <c r="Q120" s="42"/>
      <c r="R120" s="56"/>
      <c r="S120" s="46"/>
      <c r="T120" s="46"/>
    </row>
    <row r="121" spans="13:20" ht="15.6" x14ac:dyDescent="0.3">
      <c r="M121" s="52"/>
      <c r="N121" s="53"/>
      <c r="O121" s="55"/>
      <c r="P121" s="55"/>
      <c r="Q121" s="42"/>
      <c r="R121" s="56"/>
      <c r="S121" s="46"/>
      <c r="T121" s="46"/>
    </row>
    <row r="122" spans="13:20" ht="15.6" x14ac:dyDescent="0.3">
      <c r="M122" s="52"/>
      <c r="N122" s="53"/>
      <c r="O122" s="55"/>
      <c r="P122" s="55"/>
      <c r="Q122" s="42"/>
      <c r="R122" s="56"/>
      <c r="S122" s="46"/>
      <c r="T122" s="46"/>
    </row>
    <row r="123" spans="13:20" ht="15.6" x14ac:dyDescent="0.3">
      <c r="M123" s="52"/>
      <c r="N123" s="53"/>
      <c r="O123" s="55"/>
      <c r="P123" s="54"/>
      <c r="Q123" s="42"/>
      <c r="R123" s="56"/>
      <c r="S123" s="46"/>
      <c r="T123" s="46"/>
    </row>
    <row r="124" spans="13:20" x14ac:dyDescent="0.3">
      <c r="O124" s="57"/>
      <c r="P124" s="109"/>
      <c r="Q124" s="42"/>
      <c r="R124" s="46"/>
      <c r="S124" s="46"/>
      <c r="T124" s="46"/>
    </row>
    <row r="125" spans="13:20" x14ac:dyDescent="0.3">
      <c r="M125" s="47"/>
      <c r="O125" s="42"/>
      <c r="P125" s="42"/>
      <c r="Q125" s="42"/>
      <c r="R125" s="46"/>
      <c r="S125" s="43"/>
      <c r="T125" s="43"/>
    </row>
    <row r="126" spans="13:20" ht="15.6" x14ac:dyDescent="0.3">
      <c r="M126" s="52"/>
      <c r="N126" s="53"/>
      <c r="O126" s="54"/>
      <c r="P126" s="55"/>
      <c r="Q126" s="42"/>
      <c r="R126" s="56"/>
      <c r="S126" s="46"/>
      <c r="T126" s="46"/>
    </row>
    <row r="127" spans="13:20" ht="15.6" x14ac:dyDescent="0.3">
      <c r="M127" s="52"/>
      <c r="N127" s="53"/>
      <c r="O127" s="55"/>
      <c r="P127" s="55"/>
      <c r="Q127" s="42"/>
      <c r="R127" s="56"/>
      <c r="S127" s="46"/>
      <c r="T127" s="46"/>
    </row>
    <row r="128" spans="13:20" ht="15.6" x14ac:dyDescent="0.3">
      <c r="M128" s="52"/>
      <c r="N128" s="53"/>
      <c r="O128" s="55"/>
      <c r="P128" s="55"/>
      <c r="Q128" s="42"/>
      <c r="R128" s="56"/>
      <c r="S128" s="46"/>
      <c r="T128" s="46"/>
    </row>
    <row r="129" spans="13:20" ht="15.6" x14ac:dyDescent="0.3">
      <c r="M129" s="52"/>
      <c r="N129" s="53"/>
      <c r="O129" s="55"/>
      <c r="P129" s="55"/>
      <c r="Q129" s="42"/>
      <c r="R129" s="56"/>
      <c r="S129" s="46"/>
      <c r="T129" s="46"/>
    </row>
    <row r="130" spans="13:20" ht="15.6" x14ac:dyDescent="0.3">
      <c r="M130" s="52"/>
      <c r="N130" s="53"/>
      <c r="O130" s="55"/>
      <c r="P130" s="55"/>
      <c r="Q130" s="42"/>
      <c r="R130" s="56"/>
      <c r="S130" s="46"/>
      <c r="T130" s="46"/>
    </row>
    <row r="131" spans="13:20" ht="15.6" x14ac:dyDescent="0.3">
      <c r="M131" s="52"/>
      <c r="N131" s="53"/>
      <c r="O131" s="55"/>
      <c r="P131" s="55"/>
      <c r="Q131" s="42"/>
      <c r="R131" s="56"/>
      <c r="S131" s="46"/>
      <c r="T131" s="46"/>
    </row>
    <row r="132" spans="13:20" ht="15.6" x14ac:dyDescent="0.3">
      <c r="M132" s="52"/>
      <c r="N132" s="53"/>
      <c r="O132" s="55"/>
      <c r="P132" s="55"/>
      <c r="Q132" s="42"/>
      <c r="R132" s="56"/>
      <c r="S132" s="46"/>
      <c r="T132" s="46"/>
    </row>
    <row r="133" spans="13:20" ht="15.6" x14ac:dyDescent="0.3">
      <c r="M133" s="52"/>
      <c r="N133" s="53"/>
      <c r="O133" s="55"/>
      <c r="P133" s="55"/>
      <c r="Q133" s="42"/>
      <c r="R133" s="56"/>
      <c r="S133" s="46"/>
      <c r="T133" s="46"/>
    </row>
    <row r="134" spans="13:20" ht="15.6" x14ac:dyDescent="0.3">
      <c r="M134" s="52"/>
      <c r="N134" s="53"/>
      <c r="O134" s="55"/>
      <c r="P134" s="54"/>
      <c r="Q134" s="42"/>
      <c r="R134" s="56"/>
      <c r="S134" s="46"/>
      <c r="T134" s="46"/>
    </row>
    <row r="135" spans="13:20" x14ac:dyDescent="0.3">
      <c r="O135" s="57"/>
      <c r="P135" s="109"/>
      <c r="Q135" s="42"/>
      <c r="R135" s="46"/>
      <c r="S135" s="46"/>
      <c r="T135" s="46"/>
    </row>
  </sheetData>
  <sheetProtection algorithmName="SHA-512" hashValue="+euH9JTIiqVwQD7S1QiSN9gZXXqy5Bk+hHd1RU/ON9it+/2tW41KcbuGT5+cFbn7h5F/3mo0ntt38E1m4VZqWg==" saltValue="BFarYrciHDOX0H58x6C4oA==" spinCount="100000" sheet="1" formatCells="0"/>
  <dataConsolidate/>
  <mergeCells count="13">
    <mergeCell ref="B43:C44"/>
    <mergeCell ref="D43:G43"/>
    <mergeCell ref="D44:G44"/>
    <mergeCell ref="B2:H2"/>
    <mergeCell ref="J2:J3"/>
    <mergeCell ref="B4:C4"/>
    <mergeCell ref="F4:G4"/>
    <mergeCell ref="J4:J10"/>
    <mergeCell ref="B5:C5"/>
    <mergeCell ref="F5:G5"/>
    <mergeCell ref="B6:C6"/>
    <mergeCell ref="F6:G6"/>
    <mergeCell ref="B7:C7"/>
  </mergeCells>
  <conditionalFormatting sqref="E10:E40">
    <cfRule type="expression" dxfId="3" priority="1">
      <formula>E10&gt;$D$5</formula>
    </cfRule>
  </conditionalFormatting>
  <dataValidations count="3">
    <dataValidation type="list" allowBlank="1" showInputMessage="1" showErrorMessage="1" sqref="E10:E40" xr:uid="{3BA8CE75-A71E-4CF2-8322-59783B32E1A5}">
      <formula1>$Z$10:$Z$21</formula1>
    </dataValidation>
    <dataValidation type="list" allowBlank="1" showInputMessage="1" showErrorMessage="1" sqref="B10:B40" xr:uid="{94553E24-1157-47D3-9AF1-7E1B69D06CFB}">
      <formula1>$M$10:$M$18</formula1>
    </dataValidation>
    <dataValidation type="list" allowBlank="1" showInputMessage="1" showErrorMessage="1" sqref="D10:D40" xr:uid="{4A40F558-5289-4326-8947-E450F748126B}">
      <formula1>$AA$10:$AA$22</formula1>
    </dataValidation>
  </dataValidations>
  <pageMargins left="0.7" right="0.7" top="0.75" bottom="0.75" header="0.3" footer="0.3"/>
  <pageSetup orientation="portrait" horizontalDpi="300" verticalDpi="30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094079-12DB-4701-AC00-4A5371AF419C}">
  <dimension ref="A1:AA135"/>
  <sheetViews>
    <sheetView showGridLines="0" showRowColHeaders="0" zoomScaleNormal="100" workbookViewId="0"/>
  </sheetViews>
  <sheetFormatPr defaultColWidth="11.5546875" defaultRowHeight="14.4" x14ac:dyDescent="0.3"/>
  <cols>
    <col min="1" max="1" width="1.6640625" customWidth="1"/>
    <col min="2" max="2" width="36.33203125" customWidth="1"/>
    <col min="3" max="5" width="12.88671875" customWidth="1"/>
    <col min="6" max="8" width="19.21875" customWidth="1"/>
    <col min="9" max="9" width="2" customWidth="1"/>
    <col min="10" max="10" width="29.88671875" bestFit="1" customWidth="1"/>
    <col min="11" max="11" width="1.88671875" customWidth="1"/>
    <col min="12" max="12" width="5.109375" style="11" customWidth="1"/>
    <col min="13" max="13" width="37.109375" style="48" hidden="1" customWidth="1"/>
    <col min="14" max="14" width="10.6640625" style="21" hidden="1" customWidth="1"/>
    <col min="15" max="15" width="13.6640625" style="21" hidden="1" customWidth="1"/>
    <col min="16" max="16" width="11.44140625" style="21" hidden="1" customWidth="1"/>
    <col min="17" max="17" width="5.33203125" style="21" hidden="1" customWidth="1"/>
    <col min="18" max="18" width="11.44140625" style="4" hidden="1" customWidth="1"/>
    <col min="19" max="20" width="11.5546875" style="4" hidden="1" customWidth="1"/>
    <col min="21" max="21" width="11.5546875" style="18" hidden="1" customWidth="1"/>
    <col min="22" max="22" width="14.6640625" style="18" hidden="1" customWidth="1"/>
    <col min="23" max="23" width="11.5546875" style="18" hidden="1" customWidth="1"/>
    <col min="24" max="27" width="11.5546875" hidden="1" customWidth="1"/>
  </cols>
  <sheetData>
    <row r="1" spans="1:27" ht="9" customHeight="1" thickBot="1" x14ac:dyDescent="0.35">
      <c r="A1" s="24"/>
      <c r="B1" s="25"/>
      <c r="C1" s="25"/>
      <c r="D1" s="25"/>
      <c r="E1" s="25"/>
      <c r="F1" s="25"/>
      <c r="G1" s="25"/>
      <c r="H1" s="25"/>
      <c r="I1" s="25"/>
      <c r="J1" s="25"/>
      <c r="K1" s="26"/>
    </row>
    <row r="2" spans="1:27" ht="46.8" customHeight="1" thickBot="1" x14ac:dyDescent="0.35">
      <c r="A2" s="27"/>
      <c r="B2" s="121" t="s">
        <v>37</v>
      </c>
      <c r="C2" s="122"/>
      <c r="D2" s="122"/>
      <c r="E2" s="122"/>
      <c r="F2" s="122"/>
      <c r="G2" s="122"/>
      <c r="H2" s="123"/>
      <c r="I2" s="28"/>
      <c r="J2" s="116" t="s">
        <v>41</v>
      </c>
      <c r="K2" s="29"/>
    </row>
    <row r="3" spans="1:27" ht="10.5" customHeight="1" thickBot="1" x14ac:dyDescent="0.35">
      <c r="A3" s="27"/>
      <c r="B3" s="17"/>
      <c r="C3" s="17"/>
      <c r="D3" s="17"/>
      <c r="E3" s="17"/>
      <c r="F3" s="17"/>
      <c r="G3" s="17"/>
      <c r="H3" s="17"/>
      <c r="I3" s="17"/>
      <c r="J3" s="117"/>
      <c r="K3" s="29"/>
    </row>
    <row r="4" spans="1:27" ht="16.2" customHeight="1" thickBot="1" x14ac:dyDescent="0.35">
      <c r="A4" s="27"/>
      <c r="B4" s="136" t="s">
        <v>38</v>
      </c>
      <c r="C4" s="137"/>
      <c r="D4" s="22"/>
      <c r="E4" s="31"/>
      <c r="F4" s="140" t="s">
        <v>40</v>
      </c>
      <c r="G4" s="141"/>
      <c r="H4" s="19"/>
      <c r="I4" s="31"/>
      <c r="J4" s="118" t="s">
        <v>53</v>
      </c>
      <c r="K4" s="29"/>
    </row>
    <row r="5" spans="1:27" ht="48.6" customHeight="1" thickBot="1" x14ac:dyDescent="0.35">
      <c r="A5" s="27"/>
      <c r="B5" s="134" t="s">
        <v>39</v>
      </c>
      <c r="C5" s="135"/>
      <c r="D5" s="20"/>
      <c r="E5" s="113" t="s">
        <v>27</v>
      </c>
      <c r="F5" s="142" t="str">
        <f>"Produced volumen, expressed in 18.14 kg boxes, in the "&amp;D5&amp;"-month-period :"</f>
        <v>Produced volumen, expressed in 18.14 kg boxes, in the -month-period :</v>
      </c>
      <c r="G5" s="143"/>
      <c r="H5" s="19"/>
      <c r="I5" s="31"/>
      <c r="J5" s="119"/>
      <c r="K5" s="29"/>
    </row>
    <row r="6" spans="1:27" ht="31.8" customHeight="1" thickBot="1" x14ac:dyDescent="0.35">
      <c r="A6" s="27"/>
      <c r="B6" s="138" t="str">
        <f>"Total amount of the Fairtrade Premium received in the "&amp;D5&amp;"-month-period (in "&amp;T9&amp;"/"&amp;D5&amp;"-month-period) :"</f>
        <v>Total amount of the Fairtrade Premium received in the -month-period (in cedis/-month-period) :</v>
      </c>
      <c r="C6" s="139"/>
      <c r="D6" s="20"/>
      <c r="E6" s="113" t="s">
        <v>27</v>
      </c>
      <c r="F6" s="138" t="str">
        <f>"Basic Living Wage Benchmark 2025 (en "&amp;T9&amp;"/mes) :"</f>
        <v>Basic Living Wage Benchmark 2025 (en cedis/mes) :</v>
      </c>
      <c r="G6" s="139"/>
      <c r="H6" s="99">
        <f>P18</f>
        <v>2988</v>
      </c>
      <c r="I6" s="30"/>
      <c r="J6" s="119"/>
      <c r="K6" s="29"/>
      <c r="M6" s="49"/>
      <c r="O6" s="50"/>
    </row>
    <row r="7" spans="1:27" ht="16.2" customHeight="1" thickBot="1" x14ac:dyDescent="0.35">
      <c r="A7" s="27"/>
      <c r="B7" s="144" t="str">
        <f>"Exchange rate (in "&amp;T9&amp;"/Euro) :"</f>
        <v>Exchange rate (in cedis/Euro) :</v>
      </c>
      <c r="C7" s="145"/>
      <c r="D7" s="19"/>
      <c r="E7" s="31"/>
      <c r="F7" s="112" t="s">
        <v>161</v>
      </c>
      <c r="G7" s="17"/>
      <c r="H7" s="17"/>
      <c r="I7" s="30"/>
      <c r="J7" s="119"/>
      <c r="K7" s="29"/>
      <c r="M7" s="49"/>
    </row>
    <row r="8" spans="1:27" ht="10.199999999999999" customHeight="1" thickBot="1" x14ac:dyDescent="0.35">
      <c r="A8" s="27"/>
      <c r="B8" s="32"/>
      <c r="C8" s="17"/>
      <c r="D8" s="17"/>
      <c r="E8" s="17"/>
      <c r="F8" s="17"/>
      <c r="G8" s="17"/>
      <c r="H8" s="17"/>
      <c r="I8" s="17"/>
      <c r="J8" s="119"/>
      <c r="K8" s="29"/>
      <c r="M8" s="51"/>
    </row>
    <row r="9" spans="1:27" ht="43.8" thickBot="1" x14ac:dyDescent="0.35">
      <c r="A9" s="27"/>
      <c r="B9" s="94" t="s">
        <v>42</v>
      </c>
      <c r="C9" s="94" t="s">
        <v>45</v>
      </c>
      <c r="D9" s="94" t="s">
        <v>44</v>
      </c>
      <c r="E9" s="95" t="str">
        <f>"nr worked months in the "&amp;D5&amp;"-month-period"</f>
        <v>nr worked months in the -month-period</v>
      </c>
      <c r="F9" s="96" t="s">
        <v>46</v>
      </c>
      <c r="G9" s="97" t="str">
        <f>"Living Wage gap/ band/ "&amp;D5&amp;"-month-period"</f>
        <v>Living Wage gap/ band/ -month-period</v>
      </c>
      <c r="H9" s="98" t="str">
        <f>"Fairtrade Premium to disburse, in "&amp;T9&amp;"/month/worker"</f>
        <v>Fairtrade Premium to disburse, in cedis/month/worker</v>
      </c>
      <c r="I9" s="33"/>
      <c r="J9" s="119"/>
      <c r="K9" s="34"/>
      <c r="M9" s="47" t="s">
        <v>8</v>
      </c>
      <c r="N9" s="21" t="s">
        <v>3</v>
      </c>
      <c r="O9" s="42" t="s">
        <v>31</v>
      </c>
      <c r="P9" s="42" t="s">
        <v>32</v>
      </c>
      <c r="Q9" s="42"/>
      <c r="R9" s="46"/>
      <c r="S9" s="43" t="s">
        <v>22</v>
      </c>
      <c r="T9" s="46" t="s">
        <v>29</v>
      </c>
      <c r="V9" s="21" t="s">
        <v>17</v>
      </c>
      <c r="W9" s="21"/>
      <c r="X9" s="21" t="s">
        <v>2</v>
      </c>
      <c r="Y9" s="4"/>
      <c r="Z9" s="21" t="s">
        <v>33</v>
      </c>
      <c r="AA9" s="21" t="s">
        <v>34</v>
      </c>
    </row>
    <row r="10" spans="1:27" ht="16.5" customHeight="1" thickBot="1" x14ac:dyDescent="0.35">
      <c r="A10" s="27"/>
      <c r="B10" s="13" t="s">
        <v>80</v>
      </c>
      <c r="C10" s="1"/>
      <c r="D10" s="6"/>
      <c r="E10" s="5"/>
      <c r="F10" s="105">
        <f t="shared" ref="F10:F40" si="0">C10*D10/daysperweek</f>
        <v>0</v>
      </c>
      <c r="G10" s="106">
        <f t="shared" ref="G10:G40" si="1">IF(LWgap&gt;maxFP30,maxFP30*W10,V10)</f>
        <v>0</v>
      </c>
      <c r="H10" s="107">
        <f>IFERROR(G10/C10,0)</f>
        <v>0</v>
      </c>
      <c r="I10" s="35"/>
      <c r="J10" s="120"/>
      <c r="K10" s="29"/>
      <c r="L10" s="8"/>
      <c r="M10" s="52" t="str">
        <f>"Entre  "&amp;O10&amp;"  y  "&amp;P10&amp;"  "&amp;S9</f>
        <v>Entre  2092  y  2199  cedis/month</v>
      </c>
      <c r="N10" s="53">
        <f t="shared" ref="N10:N18" si="2">AVERAGE(O10:P10)</f>
        <v>2145.5</v>
      </c>
      <c r="O10" s="54">
        <v>2092</v>
      </c>
      <c r="P10" s="55">
        <f>ROUND(O10+O19,P19)-1</f>
        <v>2199</v>
      </c>
      <c r="Q10" s="42"/>
      <c r="R10" s="56">
        <f>P10-O10</f>
        <v>107</v>
      </c>
      <c r="S10" s="46"/>
      <c r="T10"/>
      <c r="V10" s="15">
        <f>IFERROR((basicLWB-VLOOKUP(B10,$M$10:$N$18,2,FALSE))*E10*F10,0)</f>
        <v>0</v>
      </c>
      <c r="W10" s="12" t="e">
        <f>V10/LWgap</f>
        <v>#DIV/0!</v>
      </c>
      <c r="X10" s="11">
        <v>1</v>
      </c>
      <c r="Y10" s="4" t="b">
        <f t="shared" ref="Y10:Y21" si="3">IF(X10&lt;=$D$5,X10,0)&lt;&gt;0</f>
        <v>0</v>
      </c>
      <c r="Z10" s="4" cm="1">
        <f t="array" ref="Z10">IFERROR(_xlfn.XLOOKUP(TRUE,Y10:$Y$21,X10:$X$21),0)</f>
        <v>0</v>
      </c>
      <c r="AA10" s="10">
        <v>6</v>
      </c>
    </row>
    <row r="11" spans="1:27" ht="16.5" customHeight="1" x14ac:dyDescent="0.3">
      <c r="A11" s="27"/>
      <c r="B11" s="13" t="s">
        <v>81</v>
      </c>
      <c r="C11" s="2"/>
      <c r="D11" s="7"/>
      <c r="E11" s="5"/>
      <c r="F11" s="105">
        <f t="shared" si="0"/>
        <v>0</v>
      </c>
      <c r="G11" s="106">
        <f t="shared" si="1"/>
        <v>0</v>
      </c>
      <c r="H11" s="107">
        <f t="shared" ref="H11:H40" si="4">IFERROR(G11/C11,0)</f>
        <v>0</v>
      </c>
      <c r="I11" s="35"/>
      <c r="J11" s="44"/>
      <c r="K11" s="29"/>
      <c r="L11" s="8"/>
      <c r="M11" s="52" t="str">
        <f>"Entre  "&amp;O11&amp;"  y  "&amp;P11&amp;"  "&amp;S9</f>
        <v>Entre  2200  y  2299  cedis/month</v>
      </c>
      <c r="N11" s="53">
        <f t="shared" si="2"/>
        <v>2249.5</v>
      </c>
      <c r="O11" s="55">
        <f t="shared" ref="O11:O18" si="5">P10+1</f>
        <v>2200</v>
      </c>
      <c r="P11" s="55">
        <f>ROUND(P10+O19,P19)-1</f>
        <v>2299</v>
      </c>
      <c r="Q11" s="42"/>
      <c r="R11" s="56">
        <f t="shared" ref="R11:R18" si="6">P11-P10</f>
        <v>100</v>
      </c>
      <c r="S11" s="46"/>
      <c r="T11"/>
      <c r="V11" s="15">
        <f>IFERROR((basicLWB-VLOOKUP(B11,$M$10:$N$18,2,FALSE))*E11*F11,0)</f>
        <v>0</v>
      </c>
      <c r="W11" s="12" t="e">
        <f t="shared" ref="W11:W33" si="7">+V11/LWgap</f>
        <v>#DIV/0!</v>
      </c>
      <c r="X11" s="11">
        <v>2</v>
      </c>
      <c r="Y11" s="4" t="b">
        <f t="shared" si="3"/>
        <v>0</v>
      </c>
      <c r="Z11" s="4" cm="1">
        <f t="array" ref="Z11">IFERROR(_xlfn.XLOOKUP(TRUE,Y11:$Y$21,X11:$X$21),0)</f>
        <v>0</v>
      </c>
      <c r="AA11" s="10">
        <v>5.5</v>
      </c>
    </row>
    <row r="12" spans="1:27" ht="16.5" customHeight="1" x14ac:dyDescent="0.3">
      <c r="A12" s="27"/>
      <c r="B12" s="13" t="s">
        <v>82</v>
      </c>
      <c r="C12" s="2"/>
      <c r="D12" s="7"/>
      <c r="E12" s="5"/>
      <c r="F12" s="105">
        <f t="shared" si="0"/>
        <v>0</v>
      </c>
      <c r="G12" s="106">
        <f t="shared" si="1"/>
        <v>0</v>
      </c>
      <c r="H12" s="107">
        <f t="shared" si="4"/>
        <v>0</v>
      </c>
      <c r="I12" s="35"/>
      <c r="J12" s="36"/>
      <c r="K12" s="29"/>
      <c r="L12" s="8"/>
      <c r="M12" s="52" t="str">
        <f>"Entre  "&amp;O12&amp;"  y  "&amp;P12&amp;"  "&amp;S9</f>
        <v>Entre  2300  y  2399  cedis/month</v>
      </c>
      <c r="N12" s="53">
        <f t="shared" si="2"/>
        <v>2349.5</v>
      </c>
      <c r="O12" s="55">
        <f t="shared" si="5"/>
        <v>2300</v>
      </c>
      <c r="P12" s="55">
        <f>ROUND(P11+O19,P19)-1</f>
        <v>2399</v>
      </c>
      <c r="Q12" s="42"/>
      <c r="R12" s="56">
        <f t="shared" si="6"/>
        <v>100</v>
      </c>
      <c r="S12" s="46"/>
      <c r="T12"/>
      <c r="V12" s="15">
        <f>IFERROR((basicLWB-VLOOKUP(B12,$M$10:$N$18,2,FALSE))*E12*F12,0)</f>
        <v>0</v>
      </c>
      <c r="W12" s="12" t="e">
        <f t="shared" si="7"/>
        <v>#DIV/0!</v>
      </c>
      <c r="X12" s="11">
        <v>3</v>
      </c>
      <c r="Y12" s="4" t="b">
        <f t="shared" si="3"/>
        <v>0</v>
      </c>
      <c r="Z12" s="4" cm="1">
        <f t="array" ref="Z12">IFERROR(_xlfn.XLOOKUP(TRUE,Y12:$Y$21,X12:$X$21),0)</f>
        <v>0</v>
      </c>
      <c r="AA12" s="10">
        <v>5</v>
      </c>
    </row>
    <row r="13" spans="1:27" ht="16.5" customHeight="1" x14ac:dyDescent="0.3">
      <c r="A13" s="27"/>
      <c r="B13" s="13" t="s">
        <v>83</v>
      </c>
      <c r="C13" s="2"/>
      <c r="D13" s="7"/>
      <c r="E13" s="5"/>
      <c r="F13" s="105">
        <f t="shared" si="0"/>
        <v>0</v>
      </c>
      <c r="G13" s="106">
        <f t="shared" si="1"/>
        <v>0</v>
      </c>
      <c r="H13" s="107">
        <f t="shared" si="4"/>
        <v>0</v>
      </c>
      <c r="I13" s="35"/>
      <c r="J13" s="36"/>
      <c r="K13" s="29"/>
      <c r="L13" s="8"/>
      <c r="M13" s="52" t="str">
        <f>"Entre  "&amp;O13&amp;"  y  "&amp;P13&amp;"  "&amp;S9</f>
        <v>Entre  2400  y  2499  cedis/month</v>
      </c>
      <c r="N13" s="53">
        <f t="shared" si="2"/>
        <v>2449.5</v>
      </c>
      <c r="O13" s="55">
        <f t="shared" si="5"/>
        <v>2400</v>
      </c>
      <c r="P13" s="55">
        <f>ROUND(P12+O19,P19)-1</f>
        <v>2499</v>
      </c>
      <c r="Q13" s="42"/>
      <c r="R13" s="56">
        <f t="shared" si="6"/>
        <v>100</v>
      </c>
      <c r="S13" s="46"/>
      <c r="T13"/>
      <c r="V13" s="15">
        <f>IFERROR((basicLWB-VLOOKUP(B13,$M$10:$N$18,2,FALSE))*E13*F13,0)</f>
        <v>0</v>
      </c>
      <c r="W13" s="12" t="e">
        <f t="shared" si="7"/>
        <v>#DIV/0!</v>
      </c>
      <c r="X13" s="11">
        <v>4</v>
      </c>
      <c r="Y13" s="4" t="b">
        <f t="shared" si="3"/>
        <v>0</v>
      </c>
      <c r="Z13" s="4" cm="1">
        <f t="array" ref="Z13">IFERROR(_xlfn.XLOOKUP(TRUE,Y13:$Y$21,X13:$X$21),0)</f>
        <v>0</v>
      </c>
      <c r="AA13" s="10">
        <v>4.5</v>
      </c>
    </row>
    <row r="14" spans="1:27" ht="16.5" customHeight="1" x14ac:dyDescent="0.3">
      <c r="A14" s="27"/>
      <c r="B14" s="13" t="s">
        <v>84</v>
      </c>
      <c r="C14" s="2"/>
      <c r="D14" s="7"/>
      <c r="E14" s="5"/>
      <c r="F14" s="105">
        <f t="shared" si="0"/>
        <v>0</v>
      </c>
      <c r="G14" s="106">
        <f t="shared" si="1"/>
        <v>0</v>
      </c>
      <c r="H14" s="107">
        <f t="shared" si="4"/>
        <v>0</v>
      </c>
      <c r="I14" s="35"/>
      <c r="J14" s="36"/>
      <c r="K14" s="29"/>
      <c r="L14" s="8"/>
      <c r="M14" s="52" t="str">
        <f>"Entre  "&amp;O14&amp;"  y  "&amp;P14&amp;"  "&amp;S9</f>
        <v>Entre  2500  y  2599  cedis/month</v>
      </c>
      <c r="N14" s="53">
        <f t="shared" si="2"/>
        <v>2549.5</v>
      </c>
      <c r="O14" s="55">
        <f t="shared" si="5"/>
        <v>2500</v>
      </c>
      <c r="P14" s="55">
        <f>ROUND(P13+O19,P19)-1</f>
        <v>2599</v>
      </c>
      <c r="Q14" s="42"/>
      <c r="R14" s="56">
        <f t="shared" si="6"/>
        <v>100</v>
      </c>
      <c r="S14" s="46"/>
      <c r="T14"/>
      <c r="V14" s="15">
        <f>IFERROR((basicLWB-VLOOKUP(B14,$M$10:$N$18,2,FALSE))*E14*F14,0)</f>
        <v>0</v>
      </c>
      <c r="W14" s="12" t="e">
        <f t="shared" si="7"/>
        <v>#DIV/0!</v>
      </c>
      <c r="X14" s="11">
        <v>5</v>
      </c>
      <c r="Y14" s="4" t="b">
        <f t="shared" si="3"/>
        <v>0</v>
      </c>
      <c r="Z14" s="4" cm="1">
        <f t="array" ref="Z14">IFERROR(_xlfn.XLOOKUP(TRUE,Y14:$Y$21,X14:$X$21),0)</f>
        <v>0</v>
      </c>
      <c r="AA14" s="10">
        <v>4</v>
      </c>
    </row>
    <row r="15" spans="1:27" ht="16.5" customHeight="1" x14ac:dyDescent="0.3">
      <c r="A15" s="27"/>
      <c r="B15" s="13" t="s">
        <v>85</v>
      </c>
      <c r="C15" s="2"/>
      <c r="D15" s="7"/>
      <c r="E15" s="5"/>
      <c r="F15" s="105">
        <f t="shared" si="0"/>
        <v>0</v>
      </c>
      <c r="G15" s="106">
        <f t="shared" si="1"/>
        <v>0</v>
      </c>
      <c r="H15" s="107">
        <f t="shared" si="4"/>
        <v>0</v>
      </c>
      <c r="I15" s="35"/>
      <c r="J15" s="36"/>
      <c r="K15" s="29"/>
      <c r="L15" s="8"/>
      <c r="M15" s="52" t="str">
        <f>"Entre  "&amp;O15&amp;"  y  "&amp;P15&amp;"  "&amp;S9</f>
        <v>Entre  2600  y  2699  cedis/month</v>
      </c>
      <c r="N15" s="53">
        <f t="shared" si="2"/>
        <v>2649.5</v>
      </c>
      <c r="O15" s="55">
        <f t="shared" si="5"/>
        <v>2600</v>
      </c>
      <c r="P15" s="55">
        <f>ROUND(P14+O19,P19)-1</f>
        <v>2699</v>
      </c>
      <c r="Q15" s="42"/>
      <c r="R15" s="56">
        <f t="shared" si="6"/>
        <v>100</v>
      </c>
      <c r="S15" s="46"/>
      <c r="T15"/>
      <c r="V15" s="15">
        <f>IFERROR((basicLWB-VLOOKUP(B15,$M$10:$N$18,2,FALSE))*E15*F15,0)</f>
        <v>0</v>
      </c>
      <c r="W15" s="12" t="e">
        <f t="shared" si="7"/>
        <v>#DIV/0!</v>
      </c>
      <c r="X15" s="11">
        <v>6</v>
      </c>
      <c r="Y15" s="4" t="b">
        <f t="shared" si="3"/>
        <v>0</v>
      </c>
      <c r="Z15" s="4" cm="1">
        <f t="array" ref="Z15">IFERROR(_xlfn.XLOOKUP(TRUE,Y15:$Y$21,X15:$X$21),0)</f>
        <v>0</v>
      </c>
      <c r="AA15" s="10">
        <v>3.5</v>
      </c>
    </row>
    <row r="16" spans="1:27" ht="16.5" customHeight="1" x14ac:dyDescent="0.3">
      <c r="A16" s="27"/>
      <c r="B16" s="13" t="s">
        <v>86</v>
      </c>
      <c r="C16" s="2"/>
      <c r="D16" s="7"/>
      <c r="E16" s="5"/>
      <c r="F16" s="105">
        <f t="shared" si="0"/>
        <v>0</v>
      </c>
      <c r="G16" s="106">
        <f t="shared" si="1"/>
        <v>0</v>
      </c>
      <c r="H16" s="107">
        <f t="shared" si="4"/>
        <v>0</v>
      </c>
      <c r="I16" s="35"/>
      <c r="J16" s="36"/>
      <c r="K16" s="29"/>
      <c r="L16" s="8"/>
      <c r="M16" s="52" t="str">
        <f>"Entre  "&amp;O16&amp;"  y  "&amp;P16&amp;"  "&amp;S9</f>
        <v>Entre  2700  y  2799  cedis/month</v>
      </c>
      <c r="N16" s="53">
        <f t="shared" si="2"/>
        <v>2749.5</v>
      </c>
      <c r="O16" s="55">
        <f t="shared" si="5"/>
        <v>2700</v>
      </c>
      <c r="P16" s="55">
        <f>ROUND(P15+O19,P19)-1</f>
        <v>2799</v>
      </c>
      <c r="Q16" s="42"/>
      <c r="R16" s="56">
        <f t="shared" si="6"/>
        <v>100</v>
      </c>
      <c r="S16" s="46"/>
      <c r="T16"/>
      <c r="V16" s="15">
        <f>IFERROR((basicLWB-VLOOKUP(B16,$M$10:$N$18,2,FALSE))*E16*F16,0)</f>
        <v>0</v>
      </c>
      <c r="W16" s="12" t="e">
        <f t="shared" si="7"/>
        <v>#DIV/0!</v>
      </c>
      <c r="X16" s="11">
        <v>7</v>
      </c>
      <c r="Y16" s="4" t="b">
        <f t="shared" si="3"/>
        <v>0</v>
      </c>
      <c r="Z16" s="4" cm="1">
        <f t="array" ref="Z16">IFERROR(_xlfn.XLOOKUP(TRUE,Y16:$Y$21,X16:$X$21),0)</f>
        <v>0</v>
      </c>
      <c r="AA16" s="10">
        <v>3</v>
      </c>
    </row>
    <row r="17" spans="1:27" ht="16.5" customHeight="1" x14ac:dyDescent="0.3">
      <c r="A17" s="27"/>
      <c r="B17" s="13" t="s">
        <v>87</v>
      </c>
      <c r="C17" s="2"/>
      <c r="D17" s="7"/>
      <c r="E17" s="5"/>
      <c r="F17" s="105">
        <f t="shared" si="0"/>
        <v>0</v>
      </c>
      <c r="G17" s="106">
        <f t="shared" si="1"/>
        <v>0</v>
      </c>
      <c r="H17" s="107">
        <f t="shared" si="4"/>
        <v>0</v>
      </c>
      <c r="I17" s="35"/>
      <c r="J17" s="36"/>
      <c r="K17" s="29"/>
      <c r="L17" s="8"/>
      <c r="M17" s="52" t="str">
        <f>"Entre  "&amp;O17&amp;"  y  "&amp;P17&amp;"  "&amp;S9</f>
        <v>Entre  2800  y  2899  cedis/month</v>
      </c>
      <c r="N17" s="53">
        <f t="shared" si="2"/>
        <v>2849.5</v>
      </c>
      <c r="O17" s="55">
        <f t="shared" si="5"/>
        <v>2800</v>
      </c>
      <c r="P17" s="55">
        <f>ROUND(P16+O19,P19)-1</f>
        <v>2899</v>
      </c>
      <c r="Q17" s="42"/>
      <c r="R17" s="56">
        <f t="shared" si="6"/>
        <v>100</v>
      </c>
      <c r="S17" s="46"/>
      <c r="T17"/>
      <c r="V17" s="15">
        <f>IFERROR((basicLWB-VLOOKUP(B17,$M$10:$N$18,2,FALSE))*E17*F17,0)</f>
        <v>0</v>
      </c>
      <c r="W17" s="12" t="e">
        <f t="shared" si="7"/>
        <v>#DIV/0!</v>
      </c>
      <c r="X17" s="11">
        <v>8</v>
      </c>
      <c r="Y17" s="4" t="b">
        <f t="shared" si="3"/>
        <v>0</v>
      </c>
      <c r="Z17" s="4" cm="1">
        <f t="array" ref="Z17">IFERROR(_xlfn.XLOOKUP(TRUE,Y17:$Y$21,X17:$X$21),0)</f>
        <v>0</v>
      </c>
      <c r="AA17" s="10">
        <v>3.5</v>
      </c>
    </row>
    <row r="18" spans="1:27" ht="16.5" customHeight="1" x14ac:dyDescent="0.3">
      <c r="A18" s="27"/>
      <c r="B18" s="13" t="s">
        <v>88</v>
      </c>
      <c r="C18" s="2"/>
      <c r="D18" s="7"/>
      <c r="E18" s="5"/>
      <c r="F18" s="105">
        <f t="shared" si="0"/>
        <v>0</v>
      </c>
      <c r="G18" s="106">
        <f t="shared" si="1"/>
        <v>0</v>
      </c>
      <c r="H18" s="107">
        <f t="shared" si="4"/>
        <v>0</v>
      </c>
      <c r="I18" s="35"/>
      <c r="J18" s="36"/>
      <c r="K18" s="29"/>
      <c r="L18" s="8"/>
      <c r="M18" s="52" t="str">
        <f>"Entre  "&amp;O18&amp;"  y  "&amp;P18&amp;"  "&amp;S9</f>
        <v>Entre  2900  y  2988  cedis/month</v>
      </c>
      <c r="N18" s="53">
        <f t="shared" si="2"/>
        <v>2944</v>
      </c>
      <c r="O18" s="55">
        <f t="shared" si="5"/>
        <v>2900</v>
      </c>
      <c r="P18" s="54">
        <v>2988</v>
      </c>
      <c r="Q18" s="42"/>
      <c r="R18" s="56">
        <f t="shared" si="6"/>
        <v>89</v>
      </c>
      <c r="S18" s="46"/>
      <c r="T18"/>
      <c r="V18" s="15">
        <f>IFERROR((basicLWB-VLOOKUP(B18,$M$10:$N$18,2,FALSE))*E18*F18,0)</f>
        <v>0</v>
      </c>
      <c r="W18" s="12" t="e">
        <f t="shared" si="7"/>
        <v>#DIV/0!</v>
      </c>
      <c r="X18" s="11">
        <v>9</v>
      </c>
      <c r="Y18" s="4" t="b">
        <f t="shared" si="3"/>
        <v>0</v>
      </c>
      <c r="Z18" s="4" cm="1">
        <f t="array" ref="Z18">IFERROR(_xlfn.XLOOKUP(TRUE,Y18:$Y$21,X18:$X$21),0)</f>
        <v>0</v>
      </c>
      <c r="AA18" s="10">
        <v>3</v>
      </c>
    </row>
    <row r="19" spans="1:27" ht="16.5" customHeight="1" x14ac:dyDescent="0.3">
      <c r="A19" s="27"/>
      <c r="B19" s="13"/>
      <c r="C19" s="2"/>
      <c r="D19" s="7"/>
      <c r="E19" s="5"/>
      <c r="F19" s="105">
        <f t="shared" si="0"/>
        <v>0</v>
      </c>
      <c r="G19" s="106">
        <f t="shared" si="1"/>
        <v>0</v>
      </c>
      <c r="H19" s="107">
        <f t="shared" si="4"/>
        <v>0</v>
      </c>
      <c r="I19" s="35"/>
      <c r="J19" s="36"/>
      <c r="K19" s="29"/>
      <c r="L19" s="8"/>
      <c r="M19" s="52"/>
      <c r="N19" s="21">
        <v>6</v>
      </c>
      <c r="O19" s="57">
        <f>ROUND((P18-O10)/9,P19)</f>
        <v>100</v>
      </c>
      <c r="P19" s="58">
        <v>-2</v>
      </c>
      <c r="Q19" s="42"/>
      <c r="R19" s="46"/>
      <c r="S19" s="46"/>
      <c r="T19"/>
      <c r="V19" s="15">
        <f>IFERROR((basicLWB-VLOOKUP(B19,$M$10:$N$18,2,FALSE))*E19*F19,0)</f>
        <v>0</v>
      </c>
      <c r="W19" s="12" t="e">
        <f t="shared" si="7"/>
        <v>#DIV/0!</v>
      </c>
      <c r="X19" s="11">
        <v>10</v>
      </c>
      <c r="Y19" s="4" t="b">
        <f t="shared" si="3"/>
        <v>0</v>
      </c>
      <c r="Z19" s="4" cm="1">
        <f t="array" ref="Z19">IFERROR(_xlfn.XLOOKUP(TRUE,Y19:$Y$21,X19:$X$21),0)</f>
        <v>0</v>
      </c>
      <c r="AA19" s="10">
        <v>2.5</v>
      </c>
    </row>
    <row r="20" spans="1:27" ht="16.5" customHeight="1" x14ac:dyDescent="0.3">
      <c r="A20" s="27"/>
      <c r="B20" s="13"/>
      <c r="C20" s="2"/>
      <c r="D20" s="7"/>
      <c r="E20" s="5"/>
      <c r="F20" s="105">
        <f t="shared" si="0"/>
        <v>0</v>
      </c>
      <c r="G20" s="106">
        <f t="shared" si="1"/>
        <v>0</v>
      </c>
      <c r="H20" s="107">
        <f t="shared" si="4"/>
        <v>0</v>
      </c>
      <c r="I20" s="35"/>
      <c r="J20" s="36"/>
      <c r="K20" s="29"/>
      <c r="N20" s="50"/>
      <c r="O20" s="18"/>
      <c r="P20" s="18"/>
      <c r="Q20" s="18"/>
      <c r="R20"/>
      <c r="S20"/>
      <c r="T20"/>
      <c r="V20" s="15">
        <f>IFERROR((basicLWB-VLOOKUP(B20,$M$10:$N$18,2,FALSE))*E20*F20,0)</f>
        <v>0</v>
      </c>
      <c r="W20" s="12" t="e">
        <f t="shared" si="7"/>
        <v>#DIV/0!</v>
      </c>
      <c r="X20" s="11">
        <v>11</v>
      </c>
      <c r="Y20" s="4" t="b">
        <f t="shared" si="3"/>
        <v>0</v>
      </c>
      <c r="Z20" s="4" cm="1">
        <f t="array" ref="Z20">IFERROR(_xlfn.XLOOKUP(TRUE,Y20:$Y$21,X20:$X$21),0)</f>
        <v>0</v>
      </c>
      <c r="AA20" s="10">
        <v>2</v>
      </c>
    </row>
    <row r="21" spans="1:27" ht="16.5" customHeight="1" x14ac:dyDescent="0.3">
      <c r="A21" s="27"/>
      <c r="B21" s="13"/>
      <c r="C21" s="3"/>
      <c r="D21" s="7"/>
      <c r="E21" s="5"/>
      <c r="F21" s="105">
        <f t="shared" si="0"/>
        <v>0</v>
      </c>
      <c r="G21" s="106">
        <f t="shared" si="1"/>
        <v>0</v>
      </c>
      <c r="H21" s="107">
        <f t="shared" si="4"/>
        <v>0</v>
      </c>
      <c r="I21" s="35"/>
      <c r="J21" s="36"/>
      <c r="K21" s="29"/>
      <c r="N21" s="50"/>
      <c r="O21" s="18"/>
      <c r="P21" s="18"/>
      <c r="Q21" s="18"/>
      <c r="R21"/>
      <c r="S21"/>
      <c r="T21"/>
      <c r="V21" s="15">
        <f>IFERROR((basicLWB-VLOOKUP(B21,$M$10:$N$18,2,FALSE))*E21*F21,0)</f>
        <v>0</v>
      </c>
      <c r="W21" s="12" t="e">
        <f t="shared" si="7"/>
        <v>#DIV/0!</v>
      </c>
      <c r="X21" s="11">
        <v>12</v>
      </c>
      <c r="Y21" s="4" t="b">
        <f t="shared" si="3"/>
        <v>0</v>
      </c>
      <c r="Z21" s="4" cm="1">
        <f t="array" ref="Z21">IFERROR(_xlfn.XLOOKUP(TRUE,Y21:$Y$21,X21:$X$21),0)</f>
        <v>0</v>
      </c>
      <c r="AA21" s="10">
        <v>1.5</v>
      </c>
    </row>
    <row r="22" spans="1:27" ht="16.5" customHeight="1" x14ac:dyDescent="0.3">
      <c r="A22" s="27"/>
      <c r="B22" s="13"/>
      <c r="C22" s="3"/>
      <c r="D22" s="7"/>
      <c r="E22" s="5"/>
      <c r="F22" s="105">
        <f t="shared" si="0"/>
        <v>0</v>
      </c>
      <c r="G22" s="106">
        <f t="shared" si="1"/>
        <v>0</v>
      </c>
      <c r="H22" s="107">
        <f t="shared" si="4"/>
        <v>0</v>
      </c>
      <c r="I22" s="35"/>
      <c r="J22" s="36"/>
      <c r="K22" s="29"/>
      <c r="N22" s="50"/>
      <c r="O22" s="18"/>
      <c r="P22" s="18"/>
      <c r="Q22" s="18"/>
      <c r="R22"/>
      <c r="S22"/>
      <c r="T22"/>
      <c r="V22" s="15">
        <f>IFERROR((basicLWB-VLOOKUP(B22,$M$10:$N$18,2,FALSE))*E22*F22,0)</f>
        <v>0</v>
      </c>
      <c r="W22" s="12" t="e">
        <f t="shared" si="7"/>
        <v>#DIV/0!</v>
      </c>
      <c r="X22" s="11"/>
      <c r="Y22" s="4"/>
      <c r="Z22" s="4"/>
      <c r="AA22" s="11">
        <v>1</v>
      </c>
    </row>
    <row r="23" spans="1:27" ht="16.5" customHeight="1" x14ac:dyDescent="0.3">
      <c r="A23" s="27"/>
      <c r="B23" s="13"/>
      <c r="C23" s="3"/>
      <c r="D23" s="7"/>
      <c r="E23" s="5"/>
      <c r="F23" s="105">
        <f t="shared" si="0"/>
        <v>0</v>
      </c>
      <c r="G23" s="106">
        <f t="shared" si="1"/>
        <v>0</v>
      </c>
      <c r="H23" s="107">
        <f t="shared" si="4"/>
        <v>0</v>
      </c>
      <c r="I23" s="35"/>
      <c r="J23" s="36"/>
      <c r="K23" s="29"/>
      <c r="N23" s="50"/>
      <c r="O23" s="18"/>
      <c r="P23" s="18"/>
      <c r="Q23" s="18"/>
      <c r="R23"/>
      <c r="S23"/>
      <c r="T23"/>
      <c r="V23" s="15">
        <f>IFERROR((basicLWB-VLOOKUP(B23,$M$10:$N$18,2,FALSE))*E23*F23,0)</f>
        <v>0</v>
      </c>
      <c r="W23" s="12" t="e">
        <f t="shared" si="7"/>
        <v>#DIV/0!</v>
      </c>
      <c r="X23" s="11"/>
      <c r="Y23" s="4"/>
      <c r="Z23" s="4"/>
      <c r="AA23" s="4"/>
    </row>
    <row r="24" spans="1:27" ht="16.5" customHeight="1" x14ac:dyDescent="0.3">
      <c r="A24" s="27"/>
      <c r="B24" s="13"/>
      <c r="C24" s="3"/>
      <c r="D24" s="7"/>
      <c r="E24" s="5"/>
      <c r="F24" s="105">
        <f t="shared" si="0"/>
        <v>0</v>
      </c>
      <c r="G24" s="106">
        <f t="shared" si="1"/>
        <v>0</v>
      </c>
      <c r="H24" s="107">
        <f t="shared" si="4"/>
        <v>0</v>
      </c>
      <c r="I24" s="35"/>
      <c r="J24" s="36"/>
      <c r="K24" s="29"/>
      <c r="N24" s="50"/>
      <c r="O24" s="18"/>
      <c r="P24" s="18"/>
      <c r="Q24" s="18"/>
      <c r="R24"/>
      <c r="S24"/>
      <c r="T24"/>
      <c r="V24" s="15">
        <f>IFERROR((basicLWB-VLOOKUP(B24,$M$10:$N$18,2,FALSE))*E24*F24,0)</f>
        <v>0</v>
      </c>
      <c r="W24" s="12" t="e">
        <f t="shared" si="7"/>
        <v>#DIV/0!</v>
      </c>
      <c r="X24" s="11"/>
      <c r="Y24" s="4"/>
      <c r="Z24" s="4"/>
      <c r="AA24" s="4"/>
    </row>
    <row r="25" spans="1:27" ht="16.5" customHeight="1" x14ac:dyDescent="0.3">
      <c r="A25" s="27"/>
      <c r="B25" s="13"/>
      <c r="C25" s="3"/>
      <c r="D25" s="7"/>
      <c r="E25" s="5"/>
      <c r="F25" s="105">
        <f t="shared" si="0"/>
        <v>0</v>
      </c>
      <c r="G25" s="106">
        <f t="shared" si="1"/>
        <v>0</v>
      </c>
      <c r="H25" s="107">
        <f t="shared" si="4"/>
        <v>0</v>
      </c>
      <c r="I25" s="35"/>
      <c r="J25" s="36"/>
      <c r="K25" s="29"/>
      <c r="N25" s="50"/>
      <c r="O25" s="18"/>
      <c r="P25" s="18"/>
      <c r="Q25" s="18"/>
      <c r="R25"/>
      <c r="S25"/>
      <c r="T25"/>
      <c r="V25" s="15">
        <f>IFERROR((basicLWB-VLOOKUP(B25,$M$10:$N$18,2,FALSE))*E25*F25,0)</f>
        <v>0</v>
      </c>
      <c r="W25" s="12" t="e">
        <f t="shared" si="7"/>
        <v>#DIV/0!</v>
      </c>
      <c r="X25" s="11"/>
      <c r="Y25" s="4"/>
      <c r="Z25" s="4"/>
      <c r="AA25" s="4"/>
    </row>
    <row r="26" spans="1:27" ht="16.5" customHeight="1" x14ac:dyDescent="0.3">
      <c r="A26" s="27"/>
      <c r="B26" s="13"/>
      <c r="C26" s="3"/>
      <c r="D26" s="7"/>
      <c r="E26" s="5"/>
      <c r="F26" s="105">
        <f t="shared" si="0"/>
        <v>0</v>
      </c>
      <c r="G26" s="106">
        <f t="shared" si="1"/>
        <v>0</v>
      </c>
      <c r="H26" s="107">
        <f t="shared" si="4"/>
        <v>0</v>
      </c>
      <c r="I26" s="35"/>
      <c r="J26" s="36"/>
      <c r="K26" s="29"/>
      <c r="N26" s="50"/>
      <c r="O26" s="18"/>
      <c r="P26" s="18"/>
      <c r="Q26" s="18"/>
      <c r="R26"/>
      <c r="S26"/>
      <c r="T26"/>
      <c r="V26" s="15">
        <f>IFERROR((basicLWB-VLOOKUP(B26,$M$10:$N$18,2,FALSE))*E26*F26,0)</f>
        <v>0</v>
      </c>
      <c r="W26" s="12" t="e">
        <f t="shared" si="7"/>
        <v>#DIV/0!</v>
      </c>
      <c r="X26" s="11"/>
      <c r="Y26" s="4"/>
      <c r="Z26" s="4"/>
      <c r="AA26" s="4"/>
    </row>
    <row r="27" spans="1:27" ht="16.5" customHeight="1" x14ac:dyDescent="0.3">
      <c r="A27" s="27"/>
      <c r="B27" s="13"/>
      <c r="C27" s="3"/>
      <c r="D27" s="7"/>
      <c r="E27" s="5"/>
      <c r="F27" s="105">
        <f t="shared" si="0"/>
        <v>0</v>
      </c>
      <c r="G27" s="106">
        <f t="shared" si="1"/>
        <v>0</v>
      </c>
      <c r="H27" s="107">
        <f t="shared" si="4"/>
        <v>0</v>
      </c>
      <c r="I27" s="35"/>
      <c r="J27" s="36"/>
      <c r="K27" s="29"/>
      <c r="N27" s="50"/>
      <c r="O27" s="18"/>
      <c r="P27" s="18"/>
      <c r="Q27" s="18"/>
      <c r="R27"/>
      <c r="S27"/>
      <c r="T27"/>
      <c r="V27" s="15">
        <f>IFERROR((basicLWB-VLOOKUP(B27,$M$10:$N$18,2,FALSE))*E27*F27,0)</f>
        <v>0</v>
      </c>
      <c r="W27" s="12" t="e">
        <f t="shared" si="7"/>
        <v>#DIV/0!</v>
      </c>
      <c r="X27" s="11"/>
      <c r="Y27" s="4"/>
      <c r="Z27" s="4"/>
      <c r="AA27" s="4"/>
    </row>
    <row r="28" spans="1:27" ht="16.5" customHeight="1" x14ac:dyDescent="0.3">
      <c r="A28" s="27"/>
      <c r="B28" s="13"/>
      <c r="C28" s="3"/>
      <c r="D28" s="7"/>
      <c r="E28" s="5"/>
      <c r="F28" s="105">
        <f t="shared" si="0"/>
        <v>0</v>
      </c>
      <c r="G28" s="106">
        <f t="shared" si="1"/>
        <v>0</v>
      </c>
      <c r="H28" s="107">
        <f t="shared" si="4"/>
        <v>0</v>
      </c>
      <c r="I28" s="35"/>
      <c r="J28" s="36"/>
      <c r="K28" s="29"/>
      <c r="N28" s="50"/>
      <c r="O28" s="18"/>
      <c r="P28" s="18"/>
      <c r="Q28" s="18"/>
      <c r="R28"/>
      <c r="S28"/>
      <c r="T28"/>
      <c r="V28" s="15">
        <f>IFERROR((basicLWB-VLOOKUP(B28,$M$10:$N$18,2,FALSE))*E28*F28,0)</f>
        <v>0</v>
      </c>
      <c r="W28" s="12" t="e">
        <f t="shared" si="7"/>
        <v>#DIV/0!</v>
      </c>
      <c r="X28" s="11"/>
      <c r="Y28" s="4"/>
      <c r="Z28" s="4"/>
      <c r="AA28" s="4"/>
    </row>
    <row r="29" spans="1:27" ht="16.5" customHeight="1" x14ac:dyDescent="0.3">
      <c r="A29" s="27"/>
      <c r="B29" s="13"/>
      <c r="C29" s="3"/>
      <c r="D29" s="7"/>
      <c r="E29" s="5"/>
      <c r="F29" s="105">
        <f t="shared" si="0"/>
        <v>0</v>
      </c>
      <c r="G29" s="106">
        <f t="shared" si="1"/>
        <v>0</v>
      </c>
      <c r="H29" s="107">
        <f t="shared" si="4"/>
        <v>0</v>
      </c>
      <c r="I29" s="35"/>
      <c r="J29" s="17"/>
      <c r="K29" s="29"/>
      <c r="N29" s="50"/>
      <c r="O29" s="18"/>
      <c r="P29" s="18"/>
      <c r="Q29" s="18"/>
      <c r="R29"/>
      <c r="S29"/>
      <c r="T29"/>
      <c r="V29" s="15">
        <f>IFERROR((basicLWB-VLOOKUP(B29,$M$10:$N$18,2,FALSE))*E29*F29,0)</f>
        <v>0</v>
      </c>
      <c r="W29" s="12" t="e">
        <f t="shared" si="7"/>
        <v>#DIV/0!</v>
      </c>
      <c r="X29" s="11"/>
      <c r="Y29" s="4"/>
      <c r="Z29" s="4"/>
      <c r="AA29" s="4"/>
    </row>
    <row r="30" spans="1:27" ht="16.5" customHeight="1" x14ac:dyDescent="0.3">
      <c r="A30" s="27"/>
      <c r="B30" s="13"/>
      <c r="C30" s="3"/>
      <c r="D30" s="7"/>
      <c r="E30" s="5"/>
      <c r="F30" s="105">
        <f t="shared" si="0"/>
        <v>0</v>
      </c>
      <c r="G30" s="106">
        <f t="shared" si="1"/>
        <v>0</v>
      </c>
      <c r="H30" s="107">
        <f t="shared" si="4"/>
        <v>0</v>
      </c>
      <c r="I30" s="35"/>
      <c r="J30" s="37"/>
      <c r="K30" s="29"/>
      <c r="N30" s="50"/>
      <c r="O30" s="18"/>
      <c r="P30" s="18"/>
      <c r="Q30" s="18"/>
      <c r="R30"/>
      <c r="S30"/>
      <c r="T30"/>
      <c r="V30" s="15">
        <f>IFERROR((basicLWB-VLOOKUP(B30,$M$10:$N$18,2,FALSE))*E30*F30,0)</f>
        <v>0</v>
      </c>
      <c r="W30" s="12" t="e">
        <f t="shared" si="7"/>
        <v>#DIV/0!</v>
      </c>
      <c r="X30" s="11"/>
      <c r="Y30" s="4"/>
      <c r="Z30" s="4"/>
      <c r="AA30" s="4"/>
    </row>
    <row r="31" spans="1:27" ht="16.5" customHeight="1" x14ac:dyDescent="0.3">
      <c r="A31" s="27"/>
      <c r="B31" s="13"/>
      <c r="C31" s="3"/>
      <c r="D31" s="7"/>
      <c r="E31" s="5"/>
      <c r="F31" s="105">
        <f t="shared" si="0"/>
        <v>0</v>
      </c>
      <c r="G31" s="106">
        <f t="shared" si="1"/>
        <v>0</v>
      </c>
      <c r="H31" s="107">
        <f t="shared" si="4"/>
        <v>0</v>
      </c>
      <c r="I31" s="35"/>
      <c r="J31" s="17"/>
      <c r="K31" s="29"/>
      <c r="N31" s="50"/>
      <c r="O31" s="18"/>
      <c r="P31" s="18"/>
      <c r="Q31" s="18"/>
      <c r="R31"/>
      <c r="S31"/>
      <c r="T31"/>
      <c r="V31" s="15">
        <f>IFERROR((basicLWB-VLOOKUP(B31,$M$10:$N$18,2,FALSE))*E31*F31,0)</f>
        <v>0</v>
      </c>
      <c r="W31" s="12" t="e">
        <f t="shared" si="7"/>
        <v>#DIV/0!</v>
      </c>
      <c r="X31" s="11"/>
      <c r="Y31" s="4"/>
      <c r="Z31" s="4"/>
      <c r="AA31" s="4"/>
    </row>
    <row r="32" spans="1:27" ht="16.5" customHeight="1" x14ac:dyDescent="0.3">
      <c r="A32" s="27"/>
      <c r="B32" s="14"/>
      <c r="C32" s="3"/>
      <c r="D32" s="1"/>
      <c r="E32" s="5"/>
      <c r="F32" s="105">
        <f t="shared" si="0"/>
        <v>0</v>
      </c>
      <c r="G32" s="106">
        <f t="shared" si="1"/>
        <v>0</v>
      </c>
      <c r="H32" s="107">
        <f t="shared" si="4"/>
        <v>0</v>
      </c>
      <c r="I32" s="35"/>
      <c r="J32" s="17"/>
      <c r="K32" s="29"/>
      <c r="N32" s="50"/>
      <c r="O32" s="18"/>
      <c r="P32" s="18"/>
      <c r="Q32" s="18"/>
      <c r="R32"/>
      <c r="S32"/>
      <c r="T32"/>
      <c r="V32" s="15">
        <f>IFERROR((basicLWB-VLOOKUP(B32,$M$10:$N$18,2,FALSE))*E32*F32,0)</f>
        <v>0</v>
      </c>
      <c r="W32" s="12" t="e">
        <f t="shared" si="7"/>
        <v>#DIV/0!</v>
      </c>
      <c r="X32" s="11"/>
      <c r="Y32" s="4"/>
      <c r="Z32" s="4"/>
      <c r="AA32" s="4"/>
    </row>
    <row r="33" spans="1:27" ht="16.5" customHeight="1" x14ac:dyDescent="0.3">
      <c r="A33" s="27"/>
      <c r="B33" s="14"/>
      <c r="C33" s="3"/>
      <c r="D33" s="1"/>
      <c r="E33" s="5"/>
      <c r="F33" s="105">
        <f t="shared" si="0"/>
        <v>0</v>
      </c>
      <c r="G33" s="106">
        <f t="shared" si="1"/>
        <v>0</v>
      </c>
      <c r="H33" s="107">
        <f t="shared" si="4"/>
        <v>0</v>
      </c>
      <c r="I33" s="35"/>
      <c r="J33" s="17"/>
      <c r="K33" s="29"/>
      <c r="O33" s="18"/>
      <c r="P33" s="18"/>
      <c r="Q33" s="18"/>
      <c r="R33"/>
      <c r="S33"/>
      <c r="T33"/>
      <c r="V33" s="15">
        <f>IFERROR((basicLWB-VLOOKUP(B33,$M$10:$N$18,2,FALSE))*E33*F33,0)</f>
        <v>0</v>
      </c>
      <c r="W33" s="12" t="e">
        <f t="shared" si="7"/>
        <v>#DIV/0!</v>
      </c>
      <c r="X33" s="11"/>
      <c r="Y33" s="4"/>
      <c r="Z33" s="4"/>
      <c r="AA33" s="4"/>
    </row>
    <row r="34" spans="1:27" ht="16.5" customHeight="1" x14ac:dyDescent="0.3">
      <c r="A34" s="27"/>
      <c r="B34" s="14"/>
      <c r="C34" s="3"/>
      <c r="D34" s="1"/>
      <c r="E34" s="5"/>
      <c r="F34" s="105">
        <f t="shared" si="0"/>
        <v>0</v>
      </c>
      <c r="G34" s="106">
        <f t="shared" si="1"/>
        <v>0</v>
      </c>
      <c r="H34" s="107">
        <f t="shared" si="4"/>
        <v>0</v>
      </c>
      <c r="I34" s="35"/>
      <c r="J34" s="17"/>
      <c r="K34" s="29"/>
      <c r="O34" s="18"/>
      <c r="P34" s="18"/>
      <c r="Q34" s="18"/>
      <c r="R34"/>
      <c r="S34"/>
      <c r="T34"/>
      <c r="V34" s="15">
        <f>IFERROR((basicLWB-VLOOKUP(B34,$M$10:$N$18,2,FALSE))*E34*F34,0)</f>
        <v>0</v>
      </c>
      <c r="W34" s="12" t="e">
        <f t="shared" ref="W34:W40" si="8">+V34/LWgap</f>
        <v>#DIV/0!</v>
      </c>
      <c r="X34" s="11"/>
      <c r="Y34" s="4"/>
      <c r="Z34" s="4"/>
      <c r="AA34" s="4"/>
    </row>
    <row r="35" spans="1:27" ht="16.5" customHeight="1" x14ac:dyDescent="0.3">
      <c r="A35" s="27"/>
      <c r="B35" s="14"/>
      <c r="C35" s="3"/>
      <c r="D35" s="1"/>
      <c r="E35" s="5"/>
      <c r="F35" s="105">
        <f t="shared" si="0"/>
        <v>0</v>
      </c>
      <c r="G35" s="106">
        <f t="shared" si="1"/>
        <v>0</v>
      </c>
      <c r="H35" s="107">
        <f t="shared" si="4"/>
        <v>0</v>
      </c>
      <c r="I35" s="35"/>
      <c r="J35" s="17"/>
      <c r="K35" s="29"/>
      <c r="O35" s="18"/>
      <c r="P35" s="18"/>
      <c r="Q35" s="18"/>
      <c r="R35"/>
      <c r="S35"/>
      <c r="T35"/>
      <c r="V35" s="15">
        <f>IFERROR((basicLWB-VLOOKUP(B35,$M$10:$N$18,2,FALSE))*E35*F35,0)</f>
        <v>0</v>
      </c>
      <c r="W35" s="12" t="e">
        <f t="shared" si="8"/>
        <v>#DIV/0!</v>
      </c>
      <c r="X35" s="11"/>
      <c r="Y35" s="4"/>
      <c r="Z35" s="4"/>
      <c r="AA35" s="4"/>
    </row>
    <row r="36" spans="1:27" ht="16.5" customHeight="1" x14ac:dyDescent="0.3">
      <c r="A36" s="27"/>
      <c r="B36" s="14"/>
      <c r="C36" s="3"/>
      <c r="D36" s="1"/>
      <c r="E36" s="5"/>
      <c r="F36" s="105">
        <f t="shared" si="0"/>
        <v>0</v>
      </c>
      <c r="G36" s="106">
        <f t="shared" si="1"/>
        <v>0</v>
      </c>
      <c r="H36" s="107">
        <f t="shared" si="4"/>
        <v>0</v>
      </c>
      <c r="I36" s="35"/>
      <c r="J36" s="37"/>
      <c r="K36" s="29"/>
      <c r="O36" s="18"/>
      <c r="P36" s="18"/>
      <c r="Q36" s="18"/>
      <c r="R36"/>
      <c r="S36"/>
      <c r="T36"/>
      <c r="V36" s="15">
        <f>IFERROR((basicLWB-VLOOKUP(B36,$M$10:$N$18,2,FALSE))*E36*F36,0)</f>
        <v>0</v>
      </c>
      <c r="W36" s="12" t="e">
        <f t="shared" si="8"/>
        <v>#DIV/0!</v>
      </c>
      <c r="X36" s="11"/>
      <c r="Y36" s="4"/>
      <c r="Z36" s="4"/>
      <c r="AA36" s="4"/>
    </row>
    <row r="37" spans="1:27" ht="16.5" customHeight="1" x14ac:dyDescent="0.3">
      <c r="A37" s="27"/>
      <c r="B37" s="14"/>
      <c r="C37" s="3"/>
      <c r="D37" s="1"/>
      <c r="E37" s="5"/>
      <c r="F37" s="105">
        <f t="shared" si="0"/>
        <v>0</v>
      </c>
      <c r="G37" s="106">
        <f t="shared" si="1"/>
        <v>0</v>
      </c>
      <c r="H37" s="107">
        <f t="shared" si="4"/>
        <v>0</v>
      </c>
      <c r="I37" s="35"/>
      <c r="J37" s="37"/>
      <c r="K37" s="29"/>
      <c r="O37" s="18"/>
      <c r="P37" s="18"/>
      <c r="Q37" s="18"/>
      <c r="R37"/>
      <c r="S37"/>
      <c r="T37"/>
      <c r="V37" s="15">
        <f>IFERROR((basicLWB-VLOOKUP(B37,$M$10:$N$18,2,FALSE))*E37*F37,0)</f>
        <v>0</v>
      </c>
      <c r="W37" s="12" t="e">
        <f t="shared" si="8"/>
        <v>#DIV/0!</v>
      </c>
      <c r="X37" s="11"/>
      <c r="Y37" s="4"/>
      <c r="Z37" s="4"/>
      <c r="AA37" s="4"/>
    </row>
    <row r="38" spans="1:27" ht="16.5" customHeight="1" x14ac:dyDescent="0.3">
      <c r="A38" s="27"/>
      <c r="B38" s="14"/>
      <c r="C38" s="3"/>
      <c r="D38" s="1"/>
      <c r="E38" s="5"/>
      <c r="F38" s="105">
        <f t="shared" si="0"/>
        <v>0</v>
      </c>
      <c r="G38" s="106">
        <f t="shared" si="1"/>
        <v>0</v>
      </c>
      <c r="H38" s="107">
        <f t="shared" si="4"/>
        <v>0</v>
      </c>
      <c r="I38" s="35"/>
      <c r="J38" s="17"/>
      <c r="K38" s="29"/>
      <c r="O38" s="18"/>
      <c r="P38" s="18"/>
      <c r="Q38" s="18"/>
      <c r="R38"/>
      <c r="S38"/>
      <c r="T38"/>
      <c r="V38" s="15">
        <f>IFERROR((basicLWB-VLOOKUP(B38,$M$10:$N$18,2,FALSE))*E38*F38,0)</f>
        <v>0</v>
      </c>
      <c r="W38" s="12" t="e">
        <f t="shared" si="8"/>
        <v>#DIV/0!</v>
      </c>
      <c r="X38" s="11"/>
      <c r="Y38" s="4"/>
      <c r="Z38" s="4"/>
      <c r="AA38" s="4"/>
    </row>
    <row r="39" spans="1:27" ht="16.5" customHeight="1" x14ac:dyDescent="0.3">
      <c r="A39" s="27"/>
      <c r="B39" s="14"/>
      <c r="C39" s="3"/>
      <c r="D39" s="1"/>
      <c r="E39" s="5"/>
      <c r="F39" s="105">
        <f t="shared" si="0"/>
        <v>0</v>
      </c>
      <c r="G39" s="106">
        <f t="shared" si="1"/>
        <v>0</v>
      </c>
      <c r="H39" s="107">
        <f t="shared" si="4"/>
        <v>0</v>
      </c>
      <c r="I39" s="35"/>
      <c r="J39" s="17"/>
      <c r="K39" s="29"/>
      <c r="O39" s="18"/>
      <c r="P39" s="18"/>
      <c r="Q39" s="18"/>
      <c r="R39"/>
      <c r="S39"/>
      <c r="T39"/>
      <c r="V39" s="15">
        <f>IFERROR((basicLWB-VLOOKUP(B39,$M$10:$N$18,2,FALSE))*E39*F39,0)</f>
        <v>0</v>
      </c>
      <c r="W39" s="12" t="e">
        <f t="shared" si="8"/>
        <v>#DIV/0!</v>
      </c>
      <c r="X39" s="11"/>
      <c r="Y39" s="4"/>
      <c r="Z39" s="4"/>
      <c r="AA39" s="4"/>
    </row>
    <row r="40" spans="1:27" ht="16.5" customHeight="1" thickBot="1" x14ac:dyDescent="0.35">
      <c r="A40" s="27"/>
      <c r="B40" s="14"/>
      <c r="C40" s="3"/>
      <c r="D40" s="1"/>
      <c r="E40" s="5"/>
      <c r="F40" s="105">
        <f t="shared" si="0"/>
        <v>0</v>
      </c>
      <c r="G40" s="106">
        <f t="shared" si="1"/>
        <v>0</v>
      </c>
      <c r="H40" s="107">
        <f t="shared" si="4"/>
        <v>0</v>
      </c>
      <c r="I40" s="35"/>
      <c r="J40" s="17"/>
      <c r="K40" s="29"/>
      <c r="O40" s="18"/>
      <c r="P40" s="18"/>
      <c r="Q40" s="18"/>
      <c r="R40"/>
      <c r="S40"/>
      <c r="T40"/>
      <c r="V40" s="15">
        <f>IFERROR((basicLWB-VLOOKUP(B40,$M$10:$N$18,2,FALSE))*E40*F40,0)</f>
        <v>0</v>
      </c>
      <c r="W40" s="12" t="e">
        <f t="shared" si="8"/>
        <v>#DIV/0!</v>
      </c>
      <c r="X40" s="11"/>
      <c r="Y40" s="4"/>
      <c r="Z40" s="4"/>
      <c r="AA40" s="4"/>
    </row>
    <row r="41" spans="1:27" ht="16.5" customHeight="1" thickBot="1" x14ac:dyDescent="0.35">
      <c r="A41" s="27"/>
      <c r="B41" s="100" t="s">
        <v>48</v>
      </c>
      <c r="C41" s="101">
        <f>SUM(C10:C40)</f>
        <v>0</v>
      </c>
      <c r="D41" s="101"/>
      <c r="E41" s="102"/>
      <c r="F41" s="102">
        <f>SUM(F10:F40)</f>
        <v>0</v>
      </c>
      <c r="G41" s="103">
        <f>SUM(G10:G40)</f>
        <v>0</v>
      </c>
      <c r="H41" s="104"/>
      <c r="I41" s="38"/>
      <c r="J41" s="17"/>
      <c r="K41" s="29"/>
      <c r="O41" s="18"/>
      <c r="P41" s="18"/>
      <c r="Q41" s="18"/>
      <c r="R41"/>
      <c r="S41"/>
      <c r="T41"/>
      <c r="V41" s="16">
        <f>SUM(V10:V40)</f>
        <v>0</v>
      </c>
      <c r="W41" s="9" t="e">
        <f>SUM(W10:W40)</f>
        <v>#DIV/0!</v>
      </c>
      <c r="X41" s="11"/>
      <c r="Y41" s="4"/>
      <c r="Z41" s="4"/>
      <c r="AA41" s="4"/>
    </row>
    <row r="42" spans="1:27" ht="15.75" customHeight="1" thickBot="1" x14ac:dyDescent="0.35">
      <c r="A42" s="27"/>
      <c r="B42" s="17"/>
      <c r="C42" s="17"/>
      <c r="D42" s="17"/>
      <c r="E42" s="17"/>
      <c r="F42" s="17"/>
      <c r="G42" s="17"/>
      <c r="H42" s="17"/>
      <c r="I42" s="17"/>
      <c r="J42" s="17"/>
      <c r="K42" s="29"/>
      <c r="O42" s="18"/>
      <c r="P42" s="18"/>
      <c r="Q42" s="18"/>
      <c r="R42"/>
      <c r="S42"/>
      <c r="T42"/>
    </row>
    <row r="43" spans="1:27" ht="15.75" customHeight="1" thickBot="1" x14ac:dyDescent="0.35">
      <c r="A43" s="27"/>
      <c r="B43" s="130" t="s">
        <v>49</v>
      </c>
      <c r="C43" s="131"/>
      <c r="D43" s="124" t="s">
        <v>50</v>
      </c>
      <c r="E43" s="125"/>
      <c r="F43" s="125"/>
      <c r="G43" s="126"/>
      <c r="H43" s="104">
        <f>+D6*0.3</f>
        <v>0</v>
      </c>
      <c r="I43" s="45" t="str">
        <f>T9&amp;"/"&amp;D5&amp;"-month-period"</f>
        <v>cedis/-month-period</v>
      </c>
      <c r="J43" s="17"/>
      <c r="K43" s="29"/>
      <c r="O43" s="18"/>
      <c r="P43" s="18"/>
      <c r="Q43" s="18"/>
      <c r="R43"/>
      <c r="S43"/>
      <c r="T43"/>
    </row>
    <row r="44" spans="1:27" ht="15.75" customHeight="1" thickBot="1" x14ac:dyDescent="0.35">
      <c r="A44" s="27"/>
      <c r="B44" s="132"/>
      <c r="C44" s="133"/>
      <c r="D44" s="127" t="s">
        <v>51</v>
      </c>
      <c r="E44" s="128"/>
      <c r="F44" s="128"/>
      <c r="G44" s="129"/>
      <c r="H44" s="104">
        <f>G41</f>
        <v>0</v>
      </c>
      <c r="I44" s="45" t="str">
        <f>I43</f>
        <v>cedis/-month-period</v>
      </c>
      <c r="J44" s="17"/>
      <c r="K44" s="29"/>
      <c r="O44" s="18"/>
      <c r="P44" s="18"/>
      <c r="Q44" s="18"/>
      <c r="R44"/>
      <c r="S44"/>
      <c r="T44"/>
    </row>
    <row r="45" spans="1:27" ht="6.75" customHeight="1" x14ac:dyDescent="0.3">
      <c r="A45" s="27"/>
      <c r="B45" s="17"/>
      <c r="C45" s="17"/>
      <c r="D45" s="17"/>
      <c r="E45" s="17"/>
      <c r="F45" s="17"/>
      <c r="G45" s="17"/>
      <c r="H45" s="17"/>
      <c r="I45" s="17"/>
      <c r="J45" s="17"/>
      <c r="K45" s="29"/>
      <c r="O45" s="18"/>
      <c r="P45" s="18"/>
      <c r="Q45" s="18"/>
      <c r="R45"/>
      <c r="S45"/>
      <c r="T45"/>
    </row>
    <row r="46" spans="1:27" ht="15.75" customHeight="1" x14ac:dyDescent="0.3">
      <c r="A46" s="27"/>
      <c r="B46" s="17"/>
      <c r="C46" s="17"/>
      <c r="D46" s="17"/>
      <c r="E46" s="17"/>
      <c r="F46" s="17"/>
      <c r="G46" s="17"/>
      <c r="H46" s="17"/>
      <c r="I46" s="17"/>
      <c r="J46" s="17"/>
      <c r="K46" s="29"/>
      <c r="O46" s="18"/>
      <c r="P46" s="18"/>
      <c r="Q46" s="18"/>
      <c r="R46"/>
      <c r="S46"/>
      <c r="T46"/>
    </row>
    <row r="47" spans="1:27" ht="15" thickBot="1" x14ac:dyDescent="0.35">
      <c r="A47" s="39"/>
      <c r="B47" s="40"/>
      <c r="C47" s="40"/>
      <c r="D47" s="40"/>
      <c r="E47" s="40"/>
      <c r="F47" s="40"/>
      <c r="G47" s="40"/>
      <c r="H47" s="40"/>
      <c r="I47" s="40"/>
      <c r="J47" s="40"/>
      <c r="K47" s="41"/>
      <c r="O47" s="18"/>
      <c r="P47" s="18"/>
      <c r="Q47" s="18"/>
      <c r="R47"/>
      <c r="S47"/>
      <c r="T47"/>
    </row>
    <row r="48" spans="1:27" x14ac:dyDescent="0.3">
      <c r="M48" s="108"/>
      <c r="O48" s="42"/>
      <c r="P48" s="42"/>
      <c r="Q48" s="42"/>
      <c r="R48" s="46"/>
      <c r="S48" s="43"/>
      <c r="T48" s="46"/>
    </row>
    <row r="49" spans="13:20" ht="15.6" x14ac:dyDescent="0.3">
      <c r="M49" s="52"/>
      <c r="N49" s="53"/>
      <c r="O49" s="54"/>
      <c r="P49" s="55"/>
      <c r="Q49" s="42"/>
      <c r="R49" s="56"/>
      <c r="S49" s="46"/>
      <c r="T49" s="46"/>
    </row>
    <row r="50" spans="13:20" ht="15.6" x14ac:dyDescent="0.3">
      <c r="M50" s="52"/>
      <c r="N50" s="53"/>
      <c r="O50" s="55"/>
      <c r="P50" s="55"/>
      <c r="Q50" s="42"/>
      <c r="R50" s="56"/>
      <c r="S50" s="46"/>
      <c r="T50" s="46"/>
    </row>
    <row r="51" spans="13:20" ht="15.6" x14ac:dyDescent="0.3">
      <c r="M51" s="52"/>
      <c r="N51" s="53"/>
      <c r="O51" s="55"/>
      <c r="P51" s="55"/>
      <c r="Q51" s="42"/>
      <c r="R51" s="56"/>
      <c r="S51" s="46"/>
      <c r="T51" s="46"/>
    </row>
    <row r="52" spans="13:20" ht="15.6" x14ac:dyDescent="0.3">
      <c r="M52" s="52"/>
      <c r="N52" s="53"/>
      <c r="O52" s="55"/>
      <c r="P52" s="55"/>
      <c r="Q52" s="42"/>
      <c r="R52" s="56"/>
      <c r="S52" s="46"/>
      <c r="T52" s="46"/>
    </row>
    <row r="53" spans="13:20" ht="15.6" x14ac:dyDescent="0.3">
      <c r="M53" s="52"/>
      <c r="N53" s="53"/>
      <c r="O53" s="55"/>
      <c r="P53" s="55"/>
      <c r="Q53" s="42"/>
      <c r="R53" s="56"/>
      <c r="S53" s="46"/>
      <c r="T53" s="46"/>
    </row>
    <row r="54" spans="13:20" ht="15.6" x14ac:dyDescent="0.3">
      <c r="M54" s="52"/>
      <c r="N54" s="53"/>
      <c r="O54" s="55"/>
      <c r="P54" s="55"/>
      <c r="Q54" s="42"/>
      <c r="R54" s="56"/>
      <c r="S54" s="46"/>
      <c r="T54" s="46"/>
    </row>
    <row r="55" spans="13:20" ht="15.6" x14ac:dyDescent="0.3">
      <c r="M55" s="52"/>
      <c r="N55" s="53"/>
      <c r="O55" s="55"/>
      <c r="P55" s="55"/>
      <c r="Q55" s="42"/>
      <c r="R55" s="56"/>
      <c r="S55" s="46"/>
      <c r="T55" s="46"/>
    </row>
    <row r="56" spans="13:20" ht="15.6" x14ac:dyDescent="0.3">
      <c r="M56" s="52"/>
      <c r="N56" s="53"/>
      <c r="O56" s="55"/>
      <c r="P56" s="55"/>
      <c r="Q56" s="42"/>
      <c r="R56" s="56"/>
      <c r="S56" s="46"/>
      <c r="T56" s="46"/>
    </row>
    <row r="57" spans="13:20" ht="15.6" x14ac:dyDescent="0.3">
      <c r="M57" s="52"/>
      <c r="N57" s="53"/>
      <c r="O57" s="55"/>
      <c r="P57" s="54"/>
      <c r="Q57" s="42"/>
      <c r="R57" s="56"/>
      <c r="S57" s="46"/>
      <c r="T57" s="46"/>
    </row>
    <row r="58" spans="13:20" x14ac:dyDescent="0.3">
      <c r="O58" s="57"/>
      <c r="P58" s="109"/>
      <c r="Q58" s="42"/>
      <c r="R58" s="46"/>
      <c r="S58" s="46"/>
      <c r="T58" s="46"/>
    </row>
    <row r="59" spans="13:20" x14ac:dyDescent="0.3">
      <c r="M59" s="108"/>
      <c r="O59" s="42"/>
      <c r="P59" s="42"/>
      <c r="Q59" s="42"/>
      <c r="R59" s="46"/>
      <c r="S59" s="43"/>
      <c r="T59" s="46"/>
    </row>
    <row r="60" spans="13:20" ht="15.6" x14ac:dyDescent="0.3">
      <c r="M60" s="52"/>
      <c r="N60" s="53"/>
      <c r="O60" s="54"/>
      <c r="P60" s="55"/>
      <c r="Q60" s="42"/>
      <c r="R60" s="56"/>
      <c r="S60" s="46"/>
      <c r="T60" s="46"/>
    </row>
    <row r="61" spans="13:20" ht="15.6" x14ac:dyDescent="0.3">
      <c r="M61" s="52"/>
      <c r="N61" s="53"/>
      <c r="O61" s="55"/>
      <c r="P61" s="55"/>
      <c r="Q61" s="42"/>
      <c r="R61" s="56"/>
      <c r="S61" s="46"/>
      <c r="T61" s="46"/>
    </row>
    <row r="62" spans="13:20" ht="15.6" x14ac:dyDescent="0.3">
      <c r="M62" s="52"/>
      <c r="N62" s="53"/>
      <c r="O62" s="55"/>
      <c r="P62" s="55"/>
      <c r="Q62" s="42"/>
      <c r="R62" s="56"/>
      <c r="S62" s="46"/>
      <c r="T62" s="46"/>
    </row>
    <row r="63" spans="13:20" ht="15.6" x14ac:dyDescent="0.3">
      <c r="M63" s="52"/>
      <c r="N63" s="53"/>
      <c r="O63" s="55"/>
      <c r="P63" s="55"/>
      <c r="Q63" s="42"/>
      <c r="R63" s="56"/>
      <c r="S63" s="46"/>
      <c r="T63" s="46"/>
    </row>
    <row r="64" spans="13:20" ht="15.6" x14ac:dyDescent="0.3">
      <c r="M64" s="52"/>
      <c r="N64" s="53"/>
      <c r="O64" s="55"/>
      <c r="P64" s="55"/>
      <c r="Q64" s="42"/>
      <c r="R64" s="56"/>
      <c r="S64" s="46"/>
      <c r="T64" s="46"/>
    </row>
    <row r="65" spans="13:20" ht="15.6" x14ac:dyDescent="0.3">
      <c r="M65" s="52"/>
      <c r="N65" s="53"/>
      <c r="O65" s="55"/>
      <c r="P65" s="55"/>
      <c r="Q65" s="42"/>
      <c r="R65" s="56"/>
      <c r="S65" s="46"/>
      <c r="T65" s="46"/>
    </row>
    <row r="66" spans="13:20" ht="15.6" x14ac:dyDescent="0.3">
      <c r="M66" s="52"/>
      <c r="N66" s="53"/>
      <c r="O66" s="55"/>
      <c r="P66" s="55"/>
      <c r="Q66" s="42"/>
      <c r="R66" s="56"/>
      <c r="S66" s="46"/>
      <c r="T66" s="46"/>
    </row>
    <row r="67" spans="13:20" ht="15.6" x14ac:dyDescent="0.3">
      <c r="M67" s="52"/>
      <c r="N67" s="53"/>
      <c r="O67" s="55"/>
      <c r="P67" s="55"/>
      <c r="Q67" s="42"/>
      <c r="R67" s="56"/>
      <c r="S67" s="46"/>
      <c r="T67" s="46"/>
    </row>
    <row r="68" spans="13:20" ht="15.6" x14ac:dyDescent="0.3">
      <c r="M68" s="52"/>
      <c r="N68" s="53"/>
      <c r="O68" s="55"/>
      <c r="P68" s="54"/>
      <c r="Q68" s="42"/>
      <c r="R68" s="56"/>
      <c r="S68" s="46"/>
      <c r="T68" s="46"/>
    </row>
    <row r="69" spans="13:20" x14ac:dyDescent="0.3">
      <c r="O69" s="57"/>
      <c r="P69" s="109"/>
      <c r="Q69" s="42"/>
      <c r="R69" s="46"/>
      <c r="S69" s="46"/>
      <c r="T69" s="46"/>
    </row>
    <row r="70" spans="13:20" x14ac:dyDescent="0.3">
      <c r="M70" s="47"/>
      <c r="O70" s="42"/>
      <c r="P70" s="42"/>
      <c r="Q70" s="42"/>
      <c r="R70" s="46"/>
      <c r="S70" s="43"/>
      <c r="T70" s="46"/>
    </row>
    <row r="71" spans="13:20" ht="15.6" x14ac:dyDescent="0.3">
      <c r="M71" s="52"/>
      <c r="N71" s="53"/>
      <c r="O71" s="54"/>
      <c r="P71" s="55"/>
      <c r="Q71" s="42"/>
      <c r="R71" s="56"/>
      <c r="S71" s="46"/>
      <c r="T71" s="46"/>
    </row>
    <row r="72" spans="13:20" ht="15.6" x14ac:dyDescent="0.3">
      <c r="M72" s="52"/>
      <c r="N72" s="53"/>
      <c r="O72" s="55"/>
      <c r="P72" s="55"/>
      <c r="Q72" s="42"/>
      <c r="R72" s="56"/>
      <c r="S72" s="46"/>
      <c r="T72" s="46"/>
    </row>
    <row r="73" spans="13:20" ht="15.6" x14ac:dyDescent="0.3">
      <c r="M73" s="52"/>
      <c r="N73" s="53"/>
      <c r="O73" s="55"/>
      <c r="P73" s="55"/>
      <c r="Q73" s="42"/>
      <c r="R73" s="56"/>
      <c r="S73" s="46"/>
      <c r="T73" s="46"/>
    </row>
    <row r="74" spans="13:20" ht="15.6" x14ac:dyDescent="0.3">
      <c r="M74" s="52"/>
      <c r="N74" s="53"/>
      <c r="O74" s="55"/>
      <c r="P74" s="55"/>
      <c r="Q74" s="42"/>
      <c r="R74" s="56"/>
      <c r="S74" s="46"/>
      <c r="T74" s="46"/>
    </row>
    <row r="75" spans="13:20" ht="15.6" x14ac:dyDescent="0.3">
      <c r="M75" s="52"/>
      <c r="N75" s="53"/>
      <c r="O75" s="55"/>
      <c r="P75" s="55"/>
      <c r="Q75" s="42"/>
      <c r="R75" s="56"/>
      <c r="S75" s="46"/>
      <c r="T75" s="46"/>
    </row>
    <row r="76" spans="13:20" ht="15.6" x14ac:dyDescent="0.3">
      <c r="M76" s="52"/>
      <c r="N76" s="53"/>
      <c r="O76" s="55"/>
      <c r="P76" s="55"/>
      <c r="Q76" s="42"/>
      <c r="R76" s="56"/>
      <c r="S76" s="46"/>
      <c r="T76" s="46"/>
    </row>
    <row r="77" spans="13:20" ht="15.6" x14ac:dyDescent="0.3">
      <c r="M77" s="52"/>
      <c r="N77" s="53"/>
      <c r="O77" s="55"/>
      <c r="P77" s="55"/>
      <c r="Q77" s="42"/>
      <c r="R77" s="56"/>
      <c r="S77" s="46"/>
      <c r="T77" s="46"/>
    </row>
    <row r="78" spans="13:20" ht="15.6" x14ac:dyDescent="0.3">
      <c r="M78" s="52"/>
      <c r="N78" s="53"/>
      <c r="O78" s="55"/>
      <c r="P78" s="55"/>
      <c r="Q78" s="42"/>
      <c r="R78" s="56"/>
      <c r="S78" s="46"/>
      <c r="T78" s="46"/>
    </row>
    <row r="79" spans="13:20" ht="15.6" x14ac:dyDescent="0.3">
      <c r="M79" s="52"/>
      <c r="N79" s="53"/>
      <c r="O79" s="55"/>
      <c r="P79" s="54"/>
      <c r="Q79" s="42"/>
      <c r="R79" s="56"/>
      <c r="S79" s="46"/>
      <c r="T79" s="46"/>
    </row>
    <row r="80" spans="13:20" x14ac:dyDescent="0.3">
      <c r="O80" s="57"/>
      <c r="P80" s="109"/>
      <c r="Q80" s="42"/>
      <c r="R80" s="46"/>
      <c r="S80" s="46"/>
      <c r="T80" s="46"/>
    </row>
    <row r="81" spans="13:20" x14ac:dyDescent="0.3">
      <c r="M81" s="47"/>
      <c r="O81" s="42"/>
      <c r="P81" s="42"/>
      <c r="Q81" s="42"/>
      <c r="R81" s="46"/>
      <c r="S81" s="43"/>
      <c r="T81" s="46"/>
    </row>
    <row r="82" spans="13:20" ht="15.6" x14ac:dyDescent="0.3">
      <c r="M82" s="52"/>
      <c r="N82" s="53"/>
      <c r="O82" s="54"/>
      <c r="P82" s="55"/>
      <c r="Q82" s="42"/>
      <c r="R82" s="56"/>
      <c r="S82" s="46"/>
      <c r="T82" s="46"/>
    </row>
    <row r="83" spans="13:20" ht="15.6" x14ac:dyDescent="0.3">
      <c r="M83" s="52"/>
      <c r="N83" s="53"/>
      <c r="O83" s="55"/>
      <c r="P83" s="55"/>
      <c r="Q83" s="42"/>
      <c r="R83" s="56"/>
      <c r="S83" s="46"/>
      <c r="T83" s="46"/>
    </row>
    <row r="84" spans="13:20" ht="15.6" x14ac:dyDescent="0.3">
      <c r="M84" s="52"/>
      <c r="N84" s="53"/>
      <c r="O84" s="55"/>
      <c r="P84" s="55"/>
      <c r="Q84" s="42"/>
      <c r="R84" s="56"/>
      <c r="S84" s="46"/>
      <c r="T84" s="46"/>
    </row>
    <row r="85" spans="13:20" ht="15.6" x14ac:dyDescent="0.3">
      <c r="M85" s="52"/>
      <c r="N85" s="53"/>
      <c r="O85" s="55"/>
      <c r="P85" s="55"/>
      <c r="Q85" s="42"/>
      <c r="R85" s="56"/>
      <c r="S85" s="46"/>
      <c r="T85" s="46"/>
    </row>
    <row r="86" spans="13:20" ht="15.6" x14ac:dyDescent="0.3">
      <c r="M86" s="52"/>
      <c r="N86" s="53"/>
      <c r="O86" s="55"/>
      <c r="P86" s="55"/>
      <c r="Q86" s="42"/>
      <c r="R86" s="56"/>
      <c r="S86" s="46"/>
      <c r="T86" s="46"/>
    </row>
    <row r="87" spans="13:20" ht="15.6" x14ac:dyDescent="0.3">
      <c r="M87" s="52"/>
      <c r="N87" s="53"/>
      <c r="O87" s="55"/>
      <c r="P87" s="55"/>
      <c r="Q87" s="42"/>
      <c r="R87" s="56"/>
      <c r="S87" s="46"/>
      <c r="T87" s="46"/>
    </row>
    <row r="88" spans="13:20" ht="15.6" x14ac:dyDescent="0.3">
      <c r="M88" s="52"/>
      <c r="N88" s="53"/>
      <c r="O88" s="55"/>
      <c r="P88" s="55"/>
      <c r="Q88" s="42"/>
      <c r="R88" s="56"/>
      <c r="S88" s="46"/>
      <c r="T88" s="46"/>
    </row>
    <row r="89" spans="13:20" ht="15.6" x14ac:dyDescent="0.3">
      <c r="M89" s="52"/>
      <c r="N89" s="53"/>
      <c r="O89" s="55"/>
      <c r="P89" s="55"/>
      <c r="Q89" s="42"/>
      <c r="R89" s="56"/>
      <c r="S89" s="46"/>
      <c r="T89" s="46"/>
    </row>
    <row r="90" spans="13:20" ht="15.6" x14ac:dyDescent="0.3">
      <c r="M90" s="52"/>
      <c r="N90" s="53"/>
      <c r="O90" s="55"/>
      <c r="P90" s="54"/>
      <c r="Q90" s="42"/>
      <c r="R90" s="56"/>
      <c r="S90" s="46"/>
      <c r="T90" s="46"/>
    </row>
    <row r="91" spans="13:20" x14ac:dyDescent="0.3">
      <c r="O91" s="57"/>
      <c r="P91" s="109"/>
      <c r="Q91" s="42"/>
      <c r="R91" s="46"/>
      <c r="S91" s="46"/>
      <c r="T91" s="46"/>
    </row>
    <row r="92" spans="13:20" x14ac:dyDescent="0.3">
      <c r="M92" s="47"/>
      <c r="O92" s="42"/>
      <c r="P92" s="42"/>
      <c r="Q92" s="42"/>
      <c r="R92" s="46"/>
      <c r="S92" s="43"/>
      <c r="T92" s="46"/>
    </row>
    <row r="93" spans="13:20" ht="15.6" x14ac:dyDescent="0.3">
      <c r="M93" s="52"/>
      <c r="N93" s="53"/>
      <c r="O93" s="54"/>
      <c r="P93" s="55"/>
      <c r="Q93" s="42"/>
      <c r="R93" s="56"/>
      <c r="S93" s="46"/>
      <c r="T93" s="46"/>
    </row>
    <row r="94" spans="13:20" ht="15.6" x14ac:dyDescent="0.3">
      <c r="M94" s="52"/>
      <c r="N94" s="53"/>
      <c r="O94" s="55"/>
      <c r="P94" s="55"/>
      <c r="Q94" s="42"/>
      <c r="R94" s="56"/>
      <c r="S94" s="46"/>
      <c r="T94" s="46"/>
    </row>
    <row r="95" spans="13:20" ht="15.6" x14ac:dyDescent="0.3">
      <c r="M95" s="52"/>
      <c r="N95" s="53"/>
      <c r="O95" s="55"/>
      <c r="P95" s="55"/>
      <c r="Q95" s="42"/>
      <c r="R95" s="56"/>
      <c r="S95" s="46"/>
      <c r="T95" s="46"/>
    </row>
    <row r="96" spans="13:20" ht="15.6" x14ac:dyDescent="0.3">
      <c r="M96" s="52"/>
      <c r="N96" s="53"/>
      <c r="O96" s="55"/>
      <c r="P96" s="55"/>
      <c r="Q96" s="42"/>
      <c r="R96" s="56"/>
      <c r="S96" s="46"/>
      <c r="T96" s="46"/>
    </row>
    <row r="97" spans="13:20" ht="15.6" x14ac:dyDescent="0.3">
      <c r="M97" s="52"/>
      <c r="N97" s="53"/>
      <c r="O97" s="55"/>
      <c r="P97" s="55"/>
      <c r="Q97" s="42"/>
      <c r="R97" s="56"/>
      <c r="S97" s="46"/>
      <c r="T97" s="46"/>
    </row>
    <row r="98" spans="13:20" ht="15.6" x14ac:dyDescent="0.3">
      <c r="M98" s="52"/>
      <c r="N98" s="53"/>
      <c r="O98" s="55"/>
      <c r="P98" s="55"/>
      <c r="Q98" s="42"/>
      <c r="R98" s="56"/>
      <c r="S98" s="46"/>
      <c r="T98" s="46"/>
    </row>
    <row r="99" spans="13:20" ht="15.6" x14ac:dyDescent="0.3">
      <c r="M99" s="52"/>
      <c r="N99" s="53"/>
      <c r="O99" s="55"/>
      <c r="P99" s="55"/>
      <c r="Q99" s="42"/>
      <c r="R99" s="56"/>
      <c r="S99" s="46"/>
      <c r="T99" s="46"/>
    </row>
    <row r="100" spans="13:20" ht="15.6" x14ac:dyDescent="0.3">
      <c r="M100" s="52"/>
      <c r="N100" s="53"/>
      <c r="O100" s="55"/>
      <c r="P100" s="55"/>
      <c r="Q100" s="42"/>
      <c r="R100" s="56"/>
      <c r="S100" s="46"/>
      <c r="T100" s="46"/>
    </row>
    <row r="101" spans="13:20" ht="15.6" x14ac:dyDescent="0.3">
      <c r="M101" s="52"/>
      <c r="N101" s="53"/>
      <c r="O101" s="55"/>
      <c r="P101" s="54"/>
      <c r="Q101" s="42"/>
      <c r="R101" s="56"/>
      <c r="S101" s="46"/>
      <c r="T101" s="46"/>
    </row>
    <row r="102" spans="13:20" x14ac:dyDescent="0.3">
      <c r="O102" s="57"/>
      <c r="P102" s="109"/>
      <c r="Q102" s="42"/>
      <c r="R102" s="46"/>
      <c r="S102" s="46"/>
      <c r="T102" s="46"/>
    </row>
    <row r="103" spans="13:20" x14ac:dyDescent="0.3">
      <c r="M103" s="47"/>
      <c r="O103" s="42"/>
      <c r="P103" s="42"/>
      <c r="Q103" s="42"/>
      <c r="R103" s="46"/>
      <c r="S103" s="43"/>
      <c r="T103" s="46"/>
    </row>
    <row r="104" spans="13:20" ht="15.6" x14ac:dyDescent="0.3">
      <c r="M104" s="52"/>
      <c r="N104" s="53"/>
      <c r="O104" s="54"/>
      <c r="P104" s="55"/>
      <c r="Q104" s="42"/>
      <c r="R104" s="56"/>
      <c r="S104" s="46"/>
      <c r="T104" s="46"/>
    </row>
    <row r="105" spans="13:20" ht="15.6" x14ac:dyDescent="0.3">
      <c r="M105" s="52"/>
      <c r="N105" s="53"/>
      <c r="O105" s="55"/>
      <c r="P105" s="55"/>
      <c r="Q105" s="42"/>
      <c r="R105" s="56"/>
      <c r="S105" s="46"/>
      <c r="T105" s="46"/>
    </row>
    <row r="106" spans="13:20" ht="15.6" x14ac:dyDescent="0.3">
      <c r="M106" s="52"/>
      <c r="N106" s="53"/>
      <c r="O106" s="55"/>
      <c r="P106" s="55"/>
      <c r="Q106" s="42"/>
      <c r="R106" s="56"/>
      <c r="S106" s="46"/>
      <c r="T106" s="46"/>
    </row>
    <row r="107" spans="13:20" ht="15.6" x14ac:dyDescent="0.3">
      <c r="M107" s="52"/>
      <c r="N107" s="53"/>
      <c r="O107" s="55"/>
      <c r="P107" s="55"/>
      <c r="Q107" s="42"/>
      <c r="R107" s="56"/>
      <c r="S107" s="46"/>
      <c r="T107" s="46"/>
    </row>
    <row r="108" spans="13:20" ht="15.6" x14ac:dyDescent="0.3">
      <c r="M108" s="52"/>
      <c r="N108" s="53"/>
      <c r="O108" s="55"/>
      <c r="P108" s="55"/>
      <c r="Q108" s="42"/>
      <c r="R108" s="56"/>
      <c r="S108" s="46"/>
      <c r="T108" s="46"/>
    </row>
    <row r="109" spans="13:20" ht="15.6" x14ac:dyDescent="0.3">
      <c r="M109" s="52"/>
      <c r="N109" s="53"/>
      <c r="O109" s="55"/>
      <c r="P109" s="55"/>
      <c r="Q109" s="42"/>
      <c r="R109" s="56"/>
      <c r="S109" s="46"/>
      <c r="T109" s="46"/>
    </row>
    <row r="110" spans="13:20" ht="15.6" x14ac:dyDescent="0.3">
      <c r="M110" s="52"/>
      <c r="N110" s="53"/>
      <c r="O110" s="55"/>
      <c r="P110" s="55"/>
      <c r="Q110" s="42"/>
      <c r="R110" s="56"/>
      <c r="S110" s="46"/>
      <c r="T110" s="46"/>
    </row>
    <row r="111" spans="13:20" ht="15.6" x14ac:dyDescent="0.3">
      <c r="M111" s="52"/>
      <c r="N111" s="53"/>
      <c r="O111" s="55"/>
      <c r="P111" s="55"/>
      <c r="Q111" s="42"/>
      <c r="R111" s="56"/>
      <c r="S111" s="46"/>
      <c r="T111" s="46"/>
    </row>
    <row r="112" spans="13:20" ht="15.6" x14ac:dyDescent="0.3">
      <c r="M112" s="52"/>
      <c r="N112" s="53"/>
      <c r="O112" s="55"/>
      <c r="P112" s="54"/>
      <c r="Q112" s="42"/>
      <c r="R112" s="56"/>
      <c r="S112" s="46"/>
      <c r="T112" s="46"/>
    </row>
    <row r="113" spans="13:20" x14ac:dyDescent="0.3">
      <c r="O113" s="57"/>
      <c r="P113" s="109"/>
      <c r="Q113" s="42"/>
      <c r="R113" s="46"/>
      <c r="S113" s="46"/>
      <c r="T113" s="46"/>
    </row>
    <row r="114" spans="13:20" x14ac:dyDescent="0.3">
      <c r="M114" s="47"/>
      <c r="O114" s="42"/>
      <c r="P114" s="42"/>
      <c r="Q114" s="42"/>
      <c r="R114" s="46"/>
      <c r="S114" s="43"/>
      <c r="T114" s="46"/>
    </row>
    <row r="115" spans="13:20" ht="15.6" x14ac:dyDescent="0.3">
      <c r="M115" s="52"/>
      <c r="N115" s="53"/>
      <c r="O115" s="54"/>
      <c r="P115" s="55"/>
      <c r="Q115" s="42"/>
      <c r="R115" s="56"/>
      <c r="S115" s="46"/>
      <c r="T115" s="46"/>
    </row>
    <row r="116" spans="13:20" ht="15.6" x14ac:dyDescent="0.3">
      <c r="M116" s="52"/>
      <c r="N116" s="53"/>
      <c r="O116" s="55"/>
      <c r="P116" s="55"/>
      <c r="Q116" s="42"/>
      <c r="R116" s="56"/>
      <c r="S116" s="46"/>
      <c r="T116" s="46"/>
    </row>
    <row r="117" spans="13:20" ht="15.6" x14ac:dyDescent="0.3">
      <c r="M117" s="52"/>
      <c r="N117" s="53"/>
      <c r="O117" s="55"/>
      <c r="P117" s="55"/>
      <c r="Q117" s="42"/>
      <c r="R117" s="56"/>
      <c r="S117" s="46"/>
      <c r="T117" s="46"/>
    </row>
    <row r="118" spans="13:20" ht="15.6" x14ac:dyDescent="0.3">
      <c r="M118" s="52"/>
      <c r="N118" s="53"/>
      <c r="O118" s="55"/>
      <c r="P118" s="55"/>
      <c r="Q118" s="42"/>
      <c r="R118" s="56"/>
      <c r="S118" s="46"/>
      <c r="T118" s="46"/>
    </row>
    <row r="119" spans="13:20" ht="15.6" x14ac:dyDescent="0.3">
      <c r="M119" s="52"/>
      <c r="N119" s="53"/>
      <c r="O119" s="55"/>
      <c r="P119" s="55"/>
      <c r="Q119" s="42"/>
      <c r="R119" s="56"/>
      <c r="S119" s="46"/>
      <c r="T119" s="46"/>
    </row>
    <row r="120" spans="13:20" ht="15.6" x14ac:dyDescent="0.3">
      <c r="M120" s="52"/>
      <c r="N120" s="53"/>
      <c r="O120" s="55"/>
      <c r="P120" s="55"/>
      <c r="Q120" s="42"/>
      <c r="R120" s="56"/>
      <c r="S120" s="46"/>
      <c r="T120" s="46"/>
    </row>
    <row r="121" spans="13:20" ht="15.6" x14ac:dyDescent="0.3">
      <c r="M121" s="52"/>
      <c r="N121" s="53"/>
      <c r="O121" s="55"/>
      <c r="P121" s="55"/>
      <c r="Q121" s="42"/>
      <c r="R121" s="56"/>
      <c r="S121" s="46"/>
      <c r="T121" s="46"/>
    </row>
    <row r="122" spans="13:20" ht="15.6" x14ac:dyDescent="0.3">
      <c r="M122" s="52"/>
      <c r="N122" s="53"/>
      <c r="O122" s="55"/>
      <c r="P122" s="55"/>
      <c r="Q122" s="42"/>
      <c r="R122" s="56"/>
      <c r="S122" s="46"/>
      <c r="T122" s="46"/>
    </row>
    <row r="123" spans="13:20" ht="15.6" x14ac:dyDescent="0.3">
      <c r="M123" s="52"/>
      <c r="N123" s="53"/>
      <c r="O123" s="55"/>
      <c r="P123" s="54"/>
      <c r="Q123" s="42"/>
      <c r="R123" s="56"/>
      <c r="S123" s="46"/>
      <c r="T123" s="46"/>
    </row>
    <row r="124" spans="13:20" x14ac:dyDescent="0.3">
      <c r="O124" s="57"/>
      <c r="P124" s="109"/>
      <c r="Q124" s="42"/>
      <c r="R124" s="46"/>
      <c r="S124" s="46"/>
      <c r="T124" s="46"/>
    </row>
    <row r="125" spans="13:20" x14ac:dyDescent="0.3">
      <c r="M125" s="47"/>
      <c r="O125" s="42"/>
      <c r="P125" s="42"/>
      <c r="Q125" s="42"/>
      <c r="R125" s="46"/>
      <c r="S125" s="43"/>
      <c r="T125" s="43"/>
    </row>
    <row r="126" spans="13:20" ht="15.6" x14ac:dyDescent="0.3">
      <c r="M126" s="52"/>
      <c r="N126" s="53"/>
      <c r="O126" s="54"/>
      <c r="P126" s="55"/>
      <c r="Q126" s="42"/>
      <c r="R126" s="56"/>
      <c r="S126" s="46"/>
      <c r="T126" s="46"/>
    </row>
    <row r="127" spans="13:20" ht="15.6" x14ac:dyDescent="0.3">
      <c r="M127" s="52"/>
      <c r="N127" s="53"/>
      <c r="O127" s="55"/>
      <c r="P127" s="55"/>
      <c r="Q127" s="42"/>
      <c r="R127" s="56"/>
      <c r="S127" s="46"/>
      <c r="T127" s="46"/>
    </row>
    <row r="128" spans="13:20" ht="15.6" x14ac:dyDescent="0.3">
      <c r="M128" s="52"/>
      <c r="N128" s="53"/>
      <c r="O128" s="55"/>
      <c r="P128" s="55"/>
      <c r="Q128" s="42"/>
      <c r="R128" s="56"/>
      <c r="S128" s="46"/>
      <c r="T128" s="46"/>
    </row>
    <row r="129" spans="13:20" ht="15.6" x14ac:dyDescent="0.3">
      <c r="M129" s="52"/>
      <c r="N129" s="53"/>
      <c r="O129" s="55"/>
      <c r="P129" s="55"/>
      <c r="Q129" s="42"/>
      <c r="R129" s="56"/>
      <c r="S129" s="46"/>
      <c r="T129" s="46"/>
    </row>
    <row r="130" spans="13:20" ht="15.6" x14ac:dyDescent="0.3">
      <c r="M130" s="52"/>
      <c r="N130" s="53"/>
      <c r="O130" s="55"/>
      <c r="P130" s="55"/>
      <c r="Q130" s="42"/>
      <c r="R130" s="56"/>
      <c r="S130" s="46"/>
      <c r="T130" s="46"/>
    </row>
    <row r="131" spans="13:20" ht="15.6" x14ac:dyDescent="0.3">
      <c r="M131" s="52"/>
      <c r="N131" s="53"/>
      <c r="O131" s="55"/>
      <c r="P131" s="55"/>
      <c r="Q131" s="42"/>
      <c r="R131" s="56"/>
      <c r="S131" s="46"/>
      <c r="T131" s="46"/>
    </row>
    <row r="132" spans="13:20" ht="15.6" x14ac:dyDescent="0.3">
      <c r="M132" s="52"/>
      <c r="N132" s="53"/>
      <c r="O132" s="55"/>
      <c r="P132" s="55"/>
      <c r="Q132" s="42"/>
      <c r="R132" s="56"/>
      <c r="S132" s="46"/>
      <c r="T132" s="46"/>
    </row>
    <row r="133" spans="13:20" ht="15.6" x14ac:dyDescent="0.3">
      <c r="M133" s="52"/>
      <c r="N133" s="53"/>
      <c r="O133" s="55"/>
      <c r="P133" s="55"/>
      <c r="Q133" s="42"/>
      <c r="R133" s="56"/>
      <c r="S133" s="46"/>
      <c r="T133" s="46"/>
    </row>
    <row r="134" spans="13:20" ht="15.6" x14ac:dyDescent="0.3">
      <c r="M134" s="52"/>
      <c r="N134" s="53"/>
      <c r="O134" s="55"/>
      <c r="P134" s="54"/>
      <c r="Q134" s="42"/>
      <c r="R134" s="56"/>
      <c r="S134" s="46"/>
      <c r="T134" s="46"/>
    </row>
    <row r="135" spans="13:20" x14ac:dyDescent="0.3">
      <c r="O135" s="57"/>
      <c r="P135" s="109"/>
      <c r="Q135" s="42"/>
      <c r="R135" s="46"/>
      <c r="S135" s="46"/>
      <c r="T135" s="46"/>
    </row>
  </sheetData>
  <sheetProtection algorithmName="SHA-512" hashValue="OXeI8EsixoSyTp3y3Pm7MUMjydVrChZ0XBsSgle8d87lwblWYpRO1TYD3Y57zk1S01A/1ItfN1EVtZdIlKUcog==" saltValue="3DJc0QQr/PPwj6tNDqPU/w==" spinCount="100000" sheet="1" formatCells="0"/>
  <dataConsolidate/>
  <mergeCells count="13">
    <mergeCell ref="B43:C44"/>
    <mergeCell ref="D43:G43"/>
    <mergeCell ref="D44:G44"/>
    <mergeCell ref="J4:J10"/>
    <mergeCell ref="B2:H2"/>
    <mergeCell ref="J2:J3"/>
    <mergeCell ref="B4:C4"/>
    <mergeCell ref="F4:G4"/>
    <mergeCell ref="B5:C5"/>
    <mergeCell ref="F5:G5"/>
    <mergeCell ref="B6:C6"/>
    <mergeCell ref="F6:G6"/>
    <mergeCell ref="B7:C7"/>
  </mergeCells>
  <conditionalFormatting sqref="E10:E40">
    <cfRule type="expression" dxfId="2" priority="1">
      <formula>E10&gt;$D$5</formula>
    </cfRule>
  </conditionalFormatting>
  <dataValidations count="3">
    <dataValidation type="list" allowBlank="1" showInputMessage="1" showErrorMessage="1" sqref="E10:E40" xr:uid="{4B5AD148-5E41-454D-8EE9-F60FCDDF3E4F}">
      <formula1>$Z$10:$Z$21</formula1>
    </dataValidation>
    <dataValidation type="list" allowBlank="1" showInputMessage="1" showErrorMessage="1" sqref="B10:B40" xr:uid="{DCE26906-1EBD-42A2-A1E6-2225AC67B2EA}">
      <formula1>$M$10:$M$18</formula1>
    </dataValidation>
    <dataValidation type="list" allowBlank="1" showInputMessage="1" showErrorMessage="1" sqref="D10:D40" xr:uid="{E10D514D-B50D-4E26-85F2-152BFEBDF14E}">
      <formula1>$AA$10:$AA$22</formula1>
    </dataValidation>
  </dataValidations>
  <pageMargins left="0.7" right="0.7" top="0.75" bottom="0.75" header="0.3" footer="0.3"/>
  <pageSetup orientation="portrait" horizontalDpi="300" verticalDpi="300"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B48271-716D-4597-B3BE-337090759BAD}">
  <dimension ref="A1:AA135"/>
  <sheetViews>
    <sheetView showGridLines="0" showRowColHeaders="0" zoomScaleNormal="100" workbookViewId="0"/>
  </sheetViews>
  <sheetFormatPr defaultColWidth="11.5546875" defaultRowHeight="14.4" x14ac:dyDescent="0.3"/>
  <cols>
    <col min="1" max="1" width="1.6640625" customWidth="1"/>
    <col min="2" max="2" width="36.33203125" customWidth="1"/>
    <col min="3" max="5" width="12.88671875" customWidth="1"/>
    <col min="6" max="8" width="19.21875" customWidth="1"/>
    <col min="9" max="9" width="2" customWidth="1"/>
    <col min="10" max="10" width="29.88671875" bestFit="1" customWidth="1"/>
    <col min="11" max="11" width="1.88671875" customWidth="1"/>
    <col min="12" max="12" width="5.109375" style="11" customWidth="1"/>
    <col min="13" max="13" width="37.109375" style="48" hidden="1" customWidth="1"/>
    <col min="14" max="14" width="10.6640625" style="21" hidden="1" customWidth="1"/>
    <col min="15" max="15" width="13.6640625" style="21" hidden="1" customWidth="1"/>
    <col min="16" max="16" width="11.44140625" style="21" hidden="1" customWidth="1"/>
    <col min="17" max="17" width="5.33203125" style="21" hidden="1" customWidth="1"/>
    <col min="18" max="18" width="11.44140625" style="4" hidden="1" customWidth="1"/>
    <col min="19" max="20" width="11.5546875" style="4" hidden="1" customWidth="1"/>
    <col min="21" max="21" width="11.5546875" style="18" hidden="1" customWidth="1"/>
    <col min="22" max="22" width="14.6640625" style="18" hidden="1" customWidth="1"/>
    <col min="23" max="23" width="11.5546875" style="18" hidden="1" customWidth="1"/>
    <col min="24" max="27" width="11.5546875" hidden="1" customWidth="1"/>
  </cols>
  <sheetData>
    <row r="1" spans="1:27" ht="9" customHeight="1" thickBot="1" x14ac:dyDescent="0.35">
      <c r="A1" s="24"/>
      <c r="B1" s="25"/>
      <c r="C1" s="25"/>
      <c r="D1" s="25"/>
      <c r="E1" s="25"/>
      <c r="F1" s="25"/>
      <c r="G1" s="25"/>
      <c r="H1" s="25"/>
      <c r="I1" s="25"/>
      <c r="J1" s="25"/>
      <c r="K1" s="26"/>
    </row>
    <row r="2" spans="1:27" ht="46.8" customHeight="1" thickBot="1" x14ac:dyDescent="0.35">
      <c r="A2" s="27"/>
      <c r="B2" s="121" t="s">
        <v>151</v>
      </c>
      <c r="C2" s="122"/>
      <c r="D2" s="122"/>
      <c r="E2" s="122"/>
      <c r="F2" s="122"/>
      <c r="G2" s="122"/>
      <c r="H2" s="123"/>
      <c r="I2" s="28"/>
      <c r="J2" s="116" t="s">
        <v>58</v>
      </c>
      <c r="K2" s="29"/>
    </row>
    <row r="3" spans="1:27" ht="10.5" customHeight="1" thickBot="1" x14ac:dyDescent="0.35">
      <c r="A3" s="27"/>
      <c r="B3" s="17"/>
      <c r="C3" s="17"/>
      <c r="D3" s="17"/>
      <c r="E3" s="17"/>
      <c r="F3" s="17"/>
      <c r="G3" s="17"/>
      <c r="H3" s="17"/>
      <c r="I3" s="17"/>
      <c r="J3" s="117"/>
      <c r="K3" s="29"/>
    </row>
    <row r="4" spans="1:27" ht="16.2" customHeight="1" thickBot="1" x14ac:dyDescent="0.35">
      <c r="A4" s="27"/>
      <c r="B4" s="136" t="s">
        <v>55</v>
      </c>
      <c r="C4" s="137"/>
      <c r="D4" s="22"/>
      <c r="E4" s="31"/>
      <c r="F4" s="140" t="s">
        <v>57</v>
      </c>
      <c r="G4" s="141"/>
      <c r="H4" s="19"/>
      <c r="I4" s="31"/>
      <c r="J4" s="118" t="s">
        <v>59</v>
      </c>
      <c r="K4" s="29"/>
    </row>
    <row r="5" spans="1:27" ht="48.6" customHeight="1" thickBot="1" x14ac:dyDescent="0.35">
      <c r="A5" s="27"/>
      <c r="B5" s="134" t="s">
        <v>56</v>
      </c>
      <c r="C5" s="135"/>
      <c r="D5" s="20"/>
      <c r="E5" s="113" t="s">
        <v>27</v>
      </c>
      <c r="F5" s="142" t="str">
        <f>"Volume produit, exprimé en boîtes de 18,14 kg, au cours de la période de "&amp;D5&amp;" mois :"</f>
        <v>Volume produit, exprimé en boîtes de 18,14 kg, au cours de la période de  mois :</v>
      </c>
      <c r="G5" s="143"/>
      <c r="H5" s="19"/>
      <c r="I5" s="31"/>
      <c r="J5" s="119"/>
      <c r="K5" s="29"/>
    </row>
    <row r="6" spans="1:27" ht="31.8" customHeight="1" thickBot="1" x14ac:dyDescent="0.35">
      <c r="A6" s="27"/>
      <c r="B6" s="138" t="str">
        <f>"Montant total de la Prime Fairtrade reçue au cours de la période de "&amp;D5&amp;" mois (en "&amp;T9&amp;"/période de "&amp;D5&amp;" mois) :"</f>
        <v>Montant total de la Prime Fairtrade reçue au cours de la période de  mois (en CA CFA francs/période de  mois) :</v>
      </c>
      <c r="C6" s="139"/>
      <c r="D6" s="20"/>
      <c r="E6" s="113" t="s">
        <v>27</v>
      </c>
      <c r="F6" s="138" t="str">
        <f>"Basic Living Wage Benchmark 2025 (en "&amp;T9&amp;"/mois) :"</f>
        <v>Basic Living Wage Benchmark 2025 (en CA CFA francs/mois) :</v>
      </c>
      <c r="G6" s="139"/>
      <c r="H6" s="99">
        <f>P18</f>
        <v>108749</v>
      </c>
      <c r="I6" s="30"/>
      <c r="J6" s="119"/>
      <c r="K6" s="29"/>
      <c r="M6" s="49"/>
      <c r="O6" s="50"/>
    </row>
    <row r="7" spans="1:27" ht="16.2" customHeight="1" thickBot="1" x14ac:dyDescent="0.35">
      <c r="A7" s="27"/>
      <c r="B7" s="144" t="str">
        <f>"Taux de change (en "&amp;T9&amp;"/Euro) :"</f>
        <v>Taux de change (en CA CFA francs/Euro) :</v>
      </c>
      <c r="C7" s="145"/>
      <c r="D7" s="19"/>
      <c r="E7" s="31"/>
      <c r="F7" s="112" t="s">
        <v>160</v>
      </c>
      <c r="G7" s="17"/>
      <c r="H7" s="17"/>
      <c r="I7" s="30"/>
      <c r="J7" s="119"/>
      <c r="K7" s="29"/>
      <c r="M7" s="49"/>
    </row>
    <row r="8" spans="1:27" ht="10.199999999999999" customHeight="1" thickBot="1" x14ac:dyDescent="0.35">
      <c r="A8" s="27"/>
      <c r="B8" s="32"/>
      <c r="C8" s="17"/>
      <c r="D8" s="17"/>
      <c r="E8" s="17"/>
      <c r="F8" s="17"/>
      <c r="G8" s="17"/>
      <c r="H8" s="17"/>
      <c r="I8" s="17"/>
      <c r="J8" s="119"/>
      <c r="K8" s="29"/>
      <c r="M8" s="51"/>
    </row>
    <row r="9" spans="1:27" ht="58.2" thickBot="1" x14ac:dyDescent="0.35">
      <c r="A9" s="27"/>
      <c r="B9" s="94" t="s">
        <v>60</v>
      </c>
      <c r="C9" s="94" t="s">
        <v>61</v>
      </c>
      <c r="D9" s="94" t="s">
        <v>62</v>
      </c>
      <c r="E9" s="95" t="str">
        <f>"nr mois travaillés dans la période de "&amp;D5&amp;" mois"</f>
        <v>nr mois travaillés dans la période de  mois</v>
      </c>
      <c r="F9" s="96" t="s">
        <v>63</v>
      </c>
      <c r="G9" s="97" t="str">
        <f>"Écart du salaire de subsistance/ fourchette/ période de "&amp;D5&amp;" mois"</f>
        <v>Écart du salaire de subsistance/ fourchette/ période de  mois</v>
      </c>
      <c r="H9" s="98" t="str">
        <f>"Prime Fairtrade à verser, en "&amp;T9&amp;"/mois/ travailleur"</f>
        <v>Prime Fairtrade à verser, en CA CFA francs/mois/ travailleur</v>
      </c>
      <c r="I9" s="33"/>
      <c r="J9" s="119"/>
      <c r="K9" s="34"/>
      <c r="M9" s="47" t="s">
        <v>5</v>
      </c>
      <c r="N9" s="21" t="s">
        <v>3</v>
      </c>
      <c r="O9" s="43" t="s">
        <v>31</v>
      </c>
      <c r="P9" s="43" t="s">
        <v>32</v>
      </c>
      <c r="Q9" s="18"/>
      <c r="S9" s="43" t="s">
        <v>23</v>
      </c>
      <c r="T9" s="46" t="s">
        <v>30</v>
      </c>
      <c r="V9" s="21" t="s">
        <v>17</v>
      </c>
      <c r="W9" s="21"/>
      <c r="X9" s="21" t="s">
        <v>2</v>
      </c>
      <c r="Y9" s="4"/>
      <c r="Z9" s="21" t="s">
        <v>33</v>
      </c>
      <c r="AA9" s="21" t="s">
        <v>34</v>
      </c>
    </row>
    <row r="10" spans="1:27" ht="16.5" customHeight="1" thickBot="1" x14ac:dyDescent="0.35">
      <c r="A10" s="27"/>
      <c r="B10" s="13" t="s">
        <v>89</v>
      </c>
      <c r="C10" s="1"/>
      <c r="D10" s="6"/>
      <c r="E10" s="5"/>
      <c r="F10" s="105">
        <f t="shared" ref="F10:F40" si="0">C10*D10/daysperweek</f>
        <v>0</v>
      </c>
      <c r="G10" s="106">
        <f t="shared" ref="G10:G40" si="1">IF(LWgap&gt;maxFP30,maxFP30*W10,V10)</f>
        <v>0</v>
      </c>
      <c r="H10" s="107">
        <f>IFERROR(G10/C10,0)</f>
        <v>0</v>
      </c>
      <c r="I10" s="35"/>
      <c r="J10" s="120"/>
      <c r="K10" s="29"/>
      <c r="L10" s="8"/>
      <c r="M10" s="52" t="str">
        <f>"Entre  "&amp;O10&amp;"  y  "&amp;P10&amp;"  "&amp;S9</f>
        <v>Entre  76124  y  79999  CA CFA francs/mois</v>
      </c>
      <c r="N10" s="53">
        <f t="shared" ref="N10:N18" si="2">AVERAGE(O10:P10)</f>
        <v>78061.5</v>
      </c>
      <c r="O10" s="54">
        <v>76124</v>
      </c>
      <c r="P10" s="55">
        <f>ROUND(O10+O19,P19)-1</f>
        <v>79999</v>
      </c>
      <c r="Q10" s="42"/>
      <c r="R10" s="59">
        <f>P10-O10</f>
        <v>3875</v>
      </c>
      <c r="S10"/>
      <c r="T10"/>
      <c r="V10" s="15">
        <f>IFERROR((basicLWB-VLOOKUP(B10,$M$10:$N$18,2,FALSE))*E10*F10,0)</f>
        <v>0</v>
      </c>
      <c r="W10" s="12" t="e">
        <f>V10/LWgap</f>
        <v>#DIV/0!</v>
      </c>
      <c r="X10" s="11">
        <v>1</v>
      </c>
      <c r="Y10" s="4" t="b">
        <f t="shared" ref="Y10:Y21" si="3">IF(X10&lt;=$D$5,X10,0)&lt;&gt;0</f>
        <v>0</v>
      </c>
      <c r="Z10" s="4" cm="1">
        <f t="array" ref="Z10">IFERROR(_xlfn.XLOOKUP(TRUE,Y10:$Y$21,X10:$X$21),0)</f>
        <v>0</v>
      </c>
      <c r="AA10" s="10">
        <v>6</v>
      </c>
    </row>
    <row r="11" spans="1:27" ht="16.5" customHeight="1" x14ac:dyDescent="0.3">
      <c r="A11" s="27"/>
      <c r="B11" s="13" t="s">
        <v>90</v>
      </c>
      <c r="C11" s="2"/>
      <c r="D11" s="7"/>
      <c r="E11" s="5"/>
      <c r="F11" s="105">
        <f t="shared" si="0"/>
        <v>0</v>
      </c>
      <c r="G11" s="106">
        <f t="shared" si="1"/>
        <v>0</v>
      </c>
      <c r="H11" s="107">
        <f t="shared" ref="H11:H40" si="4">IFERROR(G11/C11,0)</f>
        <v>0</v>
      </c>
      <c r="I11" s="35"/>
      <c r="J11" s="44"/>
      <c r="K11" s="29"/>
      <c r="L11" s="8"/>
      <c r="M11" s="52" t="str">
        <f>"Entre  "&amp;O11&amp;"  y  "&amp;P11&amp;"  "&amp;S9</f>
        <v>Entre  80000  y  83999  CA CFA francs/mois</v>
      </c>
      <c r="N11" s="53">
        <f t="shared" si="2"/>
        <v>81999.5</v>
      </c>
      <c r="O11" s="55">
        <f>P10+1</f>
        <v>80000</v>
      </c>
      <c r="P11" s="55">
        <f>ROUND(P10+O19,P19)-1</f>
        <v>83999</v>
      </c>
      <c r="Q11" s="42"/>
      <c r="R11" s="59">
        <f t="shared" ref="R11:R18" si="5">P11-P10</f>
        <v>4000</v>
      </c>
      <c r="S11"/>
      <c r="T11"/>
      <c r="V11" s="15">
        <f>IFERROR((basicLWB-VLOOKUP(B11,$M$10:$N$18,2,FALSE))*E11*F11,0)</f>
        <v>0</v>
      </c>
      <c r="W11" s="12" t="e">
        <f t="shared" ref="W11:W33" si="6">+V11/LWgap</f>
        <v>#DIV/0!</v>
      </c>
      <c r="X11" s="11">
        <v>2</v>
      </c>
      <c r="Y11" s="4" t="b">
        <f t="shared" si="3"/>
        <v>0</v>
      </c>
      <c r="Z11" s="4" cm="1">
        <f t="array" ref="Z11">IFERROR(_xlfn.XLOOKUP(TRUE,Y11:$Y$21,X11:$X$21),0)</f>
        <v>0</v>
      </c>
      <c r="AA11" s="10">
        <v>5.5</v>
      </c>
    </row>
    <row r="12" spans="1:27" ht="16.5" customHeight="1" x14ac:dyDescent="0.3">
      <c r="A12" s="27"/>
      <c r="B12" s="13" t="s">
        <v>91</v>
      </c>
      <c r="C12" s="2"/>
      <c r="D12" s="7"/>
      <c r="E12" s="5"/>
      <c r="F12" s="105">
        <f t="shared" si="0"/>
        <v>0</v>
      </c>
      <c r="G12" s="106">
        <f t="shared" si="1"/>
        <v>0</v>
      </c>
      <c r="H12" s="107">
        <f t="shared" si="4"/>
        <v>0</v>
      </c>
      <c r="I12" s="35"/>
      <c r="J12" s="36"/>
      <c r="K12" s="29"/>
      <c r="L12" s="8"/>
      <c r="M12" s="52" t="str">
        <f>"Entre  "&amp;O12&amp;"  y  "&amp;P12&amp;"  "&amp;S9</f>
        <v>Entre  84000  y  87999  CA CFA francs/mois</v>
      </c>
      <c r="N12" s="53">
        <f t="shared" si="2"/>
        <v>85999.5</v>
      </c>
      <c r="O12" s="55">
        <f t="shared" ref="O12:O18" si="7">P11+1</f>
        <v>84000</v>
      </c>
      <c r="P12" s="55">
        <f>ROUND(P11+O19,P19)-1</f>
        <v>87999</v>
      </c>
      <c r="Q12" s="42"/>
      <c r="R12" s="59">
        <f t="shared" si="5"/>
        <v>4000</v>
      </c>
      <c r="S12"/>
      <c r="T12"/>
      <c r="V12" s="15">
        <f>IFERROR((basicLWB-VLOOKUP(B12,$M$10:$N$18,2,FALSE))*E12*F12,0)</f>
        <v>0</v>
      </c>
      <c r="W12" s="12" t="e">
        <f t="shared" si="6"/>
        <v>#DIV/0!</v>
      </c>
      <c r="X12" s="11">
        <v>3</v>
      </c>
      <c r="Y12" s="4" t="b">
        <f t="shared" si="3"/>
        <v>0</v>
      </c>
      <c r="Z12" s="4" cm="1">
        <f t="array" ref="Z12">IFERROR(_xlfn.XLOOKUP(TRUE,Y12:$Y$21,X12:$X$21),0)</f>
        <v>0</v>
      </c>
      <c r="AA12" s="10">
        <v>5</v>
      </c>
    </row>
    <row r="13" spans="1:27" ht="16.5" customHeight="1" x14ac:dyDescent="0.3">
      <c r="A13" s="27"/>
      <c r="B13" s="13" t="s">
        <v>92</v>
      </c>
      <c r="C13" s="2"/>
      <c r="D13" s="7"/>
      <c r="E13" s="5"/>
      <c r="F13" s="105">
        <f t="shared" si="0"/>
        <v>0</v>
      </c>
      <c r="G13" s="106">
        <f t="shared" si="1"/>
        <v>0</v>
      </c>
      <c r="H13" s="107">
        <f t="shared" si="4"/>
        <v>0</v>
      </c>
      <c r="I13" s="35"/>
      <c r="J13" s="36"/>
      <c r="K13" s="29"/>
      <c r="L13" s="8"/>
      <c r="M13" s="52" t="str">
        <f>"Entre  "&amp;O13&amp;"  y  "&amp;P13&amp;"  "&amp;S9</f>
        <v>Entre  88000  y  91999  CA CFA francs/mois</v>
      </c>
      <c r="N13" s="53">
        <f t="shared" si="2"/>
        <v>89999.5</v>
      </c>
      <c r="O13" s="55">
        <f t="shared" si="7"/>
        <v>88000</v>
      </c>
      <c r="P13" s="55">
        <f>ROUND(P12+O19,P19)-1</f>
        <v>91999</v>
      </c>
      <c r="Q13" s="42"/>
      <c r="R13" s="59">
        <f t="shared" si="5"/>
        <v>4000</v>
      </c>
      <c r="S13"/>
      <c r="T13"/>
      <c r="V13" s="15">
        <f>IFERROR((basicLWB-VLOOKUP(B13,$M$10:$N$18,2,FALSE))*E13*F13,0)</f>
        <v>0</v>
      </c>
      <c r="W13" s="12" t="e">
        <f t="shared" si="6"/>
        <v>#DIV/0!</v>
      </c>
      <c r="X13" s="11">
        <v>4</v>
      </c>
      <c r="Y13" s="4" t="b">
        <f t="shared" si="3"/>
        <v>0</v>
      </c>
      <c r="Z13" s="4" cm="1">
        <f t="array" ref="Z13">IFERROR(_xlfn.XLOOKUP(TRUE,Y13:$Y$21,X13:$X$21),0)</f>
        <v>0</v>
      </c>
      <c r="AA13" s="10">
        <v>4.5</v>
      </c>
    </row>
    <row r="14" spans="1:27" ht="16.5" customHeight="1" x14ac:dyDescent="0.3">
      <c r="A14" s="27"/>
      <c r="B14" s="13" t="s">
        <v>93</v>
      </c>
      <c r="C14" s="2"/>
      <c r="D14" s="7"/>
      <c r="E14" s="5"/>
      <c r="F14" s="105">
        <f t="shared" si="0"/>
        <v>0</v>
      </c>
      <c r="G14" s="106">
        <f t="shared" si="1"/>
        <v>0</v>
      </c>
      <c r="H14" s="107">
        <f t="shared" si="4"/>
        <v>0</v>
      </c>
      <c r="I14" s="35"/>
      <c r="J14" s="36"/>
      <c r="K14" s="29"/>
      <c r="L14" s="8"/>
      <c r="M14" s="52" t="str">
        <f>"Entre  "&amp;O14&amp;"  y  "&amp;P14&amp;"  "&amp;S9</f>
        <v>Entre  92000  y  95999  CA CFA francs/mois</v>
      </c>
      <c r="N14" s="53">
        <f t="shared" si="2"/>
        <v>93999.5</v>
      </c>
      <c r="O14" s="55">
        <f t="shared" si="7"/>
        <v>92000</v>
      </c>
      <c r="P14" s="55">
        <f>ROUND(P13+O19,P19)-1</f>
        <v>95999</v>
      </c>
      <c r="Q14" s="42"/>
      <c r="R14" s="59">
        <f t="shared" si="5"/>
        <v>4000</v>
      </c>
      <c r="S14"/>
      <c r="T14"/>
      <c r="V14" s="15">
        <f>IFERROR((basicLWB-VLOOKUP(B14,$M$10:$N$18,2,FALSE))*E14*F14,0)</f>
        <v>0</v>
      </c>
      <c r="W14" s="12" t="e">
        <f t="shared" si="6"/>
        <v>#DIV/0!</v>
      </c>
      <c r="X14" s="11">
        <v>5</v>
      </c>
      <c r="Y14" s="4" t="b">
        <f t="shared" si="3"/>
        <v>0</v>
      </c>
      <c r="Z14" s="4" cm="1">
        <f t="array" ref="Z14">IFERROR(_xlfn.XLOOKUP(TRUE,Y14:$Y$21,X14:$X$21),0)</f>
        <v>0</v>
      </c>
      <c r="AA14" s="10">
        <v>4</v>
      </c>
    </row>
    <row r="15" spans="1:27" ht="16.5" customHeight="1" x14ac:dyDescent="0.3">
      <c r="A15" s="27"/>
      <c r="B15" s="13" t="s">
        <v>94</v>
      </c>
      <c r="C15" s="2"/>
      <c r="D15" s="7"/>
      <c r="E15" s="5"/>
      <c r="F15" s="105">
        <f t="shared" si="0"/>
        <v>0</v>
      </c>
      <c r="G15" s="106">
        <f t="shared" si="1"/>
        <v>0</v>
      </c>
      <c r="H15" s="107">
        <f t="shared" si="4"/>
        <v>0</v>
      </c>
      <c r="I15" s="35"/>
      <c r="J15" s="36"/>
      <c r="K15" s="29"/>
      <c r="L15" s="8"/>
      <c r="M15" s="52" t="str">
        <f>"Entre  "&amp;O15&amp;"  y  "&amp;P15&amp;"  "&amp;S9</f>
        <v>Entre  96000  y  99999  CA CFA francs/mois</v>
      </c>
      <c r="N15" s="53">
        <f t="shared" si="2"/>
        <v>97999.5</v>
      </c>
      <c r="O15" s="55">
        <f t="shared" si="7"/>
        <v>96000</v>
      </c>
      <c r="P15" s="55">
        <f>ROUND(P14+O19,P19)-1</f>
        <v>99999</v>
      </c>
      <c r="Q15" s="42"/>
      <c r="R15" s="59">
        <f t="shared" si="5"/>
        <v>4000</v>
      </c>
      <c r="S15"/>
      <c r="T15"/>
      <c r="V15" s="15">
        <f>IFERROR((basicLWB-VLOOKUP(B15,$M$10:$N$18,2,FALSE))*E15*F15,0)</f>
        <v>0</v>
      </c>
      <c r="W15" s="12" t="e">
        <f t="shared" si="6"/>
        <v>#DIV/0!</v>
      </c>
      <c r="X15" s="11">
        <v>6</v>
      </c>
      <c r="Y15" s="4" t="b">
        <f t="shared" si="3"/>
        <v>0</v>
      </c>
      <c r="Z15" s="4" cm="1">
        <f t="array" ref="Z15">IFERROR(_xlfn.XLOOKUP(TRUE,Y15:$Y$21,X15:$X$21),0)</f>
        <v>0</v>
      </c>
      <c r="AA15" s="10">
        <v>3.5</v>
      </c>
    </row>
    <row r="16" spans="1:27" ht="16.5" customHeight="1" x14ac:dyDescent="0.3">
      <c r="A16" s="27"/>
      <c r="B16" s="13" t="s">
        <v>95</v>
      </c>
      <c r="C16" s="2"/>
      <c r="D16" s="7"/>
      <c r="E16" s="5"/>
      <c r="F16" s="105">
        <f t="shared" si="0"/>
        <v>0</v>
      </c>
      <c r="G16" s="106">
        <f t="shared" si="1"/>
        <v>0</v>
      </c>
      <c r="H16" s="107">
        <f t="shared" si="4"/>
        <v>0</v>
      </c>
      <c r="I16" s="35"/>
      <c r="J16" s="36"/>
      <c r="K16" s="29"/>
      <c r="L16" s="8"/>
      <c r="M16" s="52" t="str">
        <f>"Entre  "&amp;O16&amp;"  y  "&amp;P16&amp;"  "&amp;S9</f>
        <v>Entre  100000  y  103999  CA CFA francs/mois</v>
      </c>
      <c r="N16" s="53">
        <f t="shared" si="2"/>
        <v>101999.5</v>
      </c>
      <c r="O16" s="55">
        <f t="shared" si="7"/>
        <v>100000</v>
      </c>
      <c r="P16" s="55">
        <f>ROUND(P15+O19,P19)-1</f>
        <v>103999</v>
      </c>
      <c r="Q16" s="42"/>
      <c r="R16" s="59">
        <f t="shared" si="5"/>
        <v>4000</v>
      </c>
      <c r="S16"/>
      <c r="T16"/>
      <c r="V16" s="15">
        <f>IFERROR((basicLWB-VLOOKUP(B16,$M$10:$N$18,2,FALSE))*E16*F16,0)</f>
        <v>0</v>
      </c>
      <c r="W16" s="12" t="e">
        <f t="shared" si="6"/>
        <v>#DIV/0!</v>
      </c>
      <c r="X16" s="11">
        <v>7</v>
      </c>
      <c r="Y16" s="4" t="b">
        <f t="shared" si="3"/>
        <v>0</v>
      </c>
      <c r="Z16" s="4" cm="1">
        <f t="array" ref="Z16">IFERROR(_xlfn.XLOOKUP(TRUE,Y16:$Y$21,X16:$X$21),0)</f>
        <v>0</v>
      </c>
      <c r="AA16" s="10">
        <v>3</v>
      </c>
    </row>
    <row r="17" spans="1:27" ht="16.5" customHeight="1" x14ac:dyDescent="0.3">
      <c r="A17" s="27"/>
      <c r="B17" s="13" t="s">
        <v>96</v>
      </c>
      <c r="C17" s="2"/>
      <c r="D17" s="7"/>
      <c r="E17" s="5"/>
      <c r="F17" s="105">
        <f t="shared" si="0"/>
        <v>0</v>
      </c>
      <c r="G17" s="106">
        <f t="shared" si="1"/>
        <v>0</v>
      </c>
      <c r="H17" s="107">
        <f t="shared" si="4"/>
        <v>0</v>
      </c>
      <c r="I17" s="35"/>
      <c r="J17" s="36"/>
      <c r="K17" s="29"/>
      <c r="L17" s="8"/>
      <c r="M17" s="52" t="str">
        <f>"Entre  "&amp;O17&amp;"  y  "&amp;P17&amp;"  "&amp;S9</f>
        <v>Entre  104000  y  107999  CA CFA francs/mois</v>
      </c>
      <c r="N17" s="53">
        <f t="shared" si="2"/>
        <v>105999.5</v>
      </c>
      <c r="O17" s="55">
        <f t="shared" si="7"/>
        <v>104000</v>
      </c>
      <c r="P17" s="55">
        <f>ROUND(P16+O19,P19)-1</f>
        <v>107999</v>
      </c>
      <c r="Q17" s="42"/>
      <c r="R17" s="59">
        <f t="shared" si="5"/>
        <v>4000</v>
      </c>
      <c r="S17"/>
      <c r="T17"/>
      <c r="V17" s="15">
        <f>IFERROR((basicLWB-VLOOKUP(B17,$M$10:$N$18,2,FALSE))*E17*F17,0)</f>
        <v>0</v>
      </c>
      <c r="W17" s="12" t="e">
        <f t="shared" si="6"/>
        <v>#DIV/0!</v>
      </c>
      <c r="X17" s="11">
        <v>8</v>
      </c>
      <c r="Y17" s="4" t="b">
        <f t="shared" si="3"/>
        <v>0</v>
      </c>
      <c r="Z17" s="4" cm="1">
        <f t="array" ref="Z17">IFERROR(_xlfn.XLOOKUP(TRUE,Y17:$Y$21,X17:$X$21),0)</f>
        <v>0</v>
      </c>
      <c r="AA17" s="10">
        <v>3.5</v>
      </c>
    </row>
    <row r="18" spans="1:27" ht="16.5" customHeight="1" x14ac:dyDescent="0.3">
      <c r="A18" s="27"/>
      <c r="B18" s="13" t="s">
        <v>97</v>
      </c>
      <c r="C18" s="2"/>
      <c r="D18" s="7"/>
      <c r="E18" s="5"/>
      <c r="F18" s="105">
        <f t="shared" si="0"/>
        <v>0</v>
      </c>
      <c r="G18" s="106">
        <f t="shared" si="1"/>
        <v>0</v>
      </c>
      <c r="H18" s="107">
        <f t="shared" si="4"/>
        <v>0</v>
      </c>
      <c r="I18" s="35"/>
      <c r="J18" s="36"/>
      <c r="K18" s="29"/>
      <c r="L18" s="8"/>
      <c r="M18" s="52" t="str">
        <f>"Entre  "&amp;O18&amp;"  y  "&amp;P18&amp;"  "&amp;S9</f>
        <v>Entre  108000  y  108749  CA CFA francs/mois</v>
      </c>
      <c r="N18" s="53">
        <f t="shared" si="2"/>
        <v>108374.5</v>
      </c>
      <c r="O18" s="55">
        <f t="shared" si="7"/>
        <v>108000</v>
      </c>
      <c r="P18" s="54">
        <v>108749</v>
      </c>
      <c r="Q18" s="18"/>
      <c r="R18" s="59">
        <f t="shared" si="5"/>
        <v>750</v>
      </c>
      <c r="S18"/>
      <c r="T18"/>
      <c r="V18" s="15">
        <f>IFERROR((basicLWB-VLOOKUP(B18,$M$10:$N$18,2,FALSE))*E18*F18,0)</f>
        <v>0</v>
      </c>
      <c r="W18" s="12" t="e">
        <f t="shared" si="6"/>
        <v>#DIV/0!</v>
      </c>
      <c r="X18" s="11">
        <v>9</v>
      </c>
      <c r="Y18" s="4" t="b">
        <f t="shared" si="3"/>
        <v>0</v>
      </c>
      <c r="Z18" s="4" cm="1">
        <f t="array" ref="Z18">IFERROR(_xlfn.XLOOKUP(TRUE,Y18:$Y$21,X18:$X$21),0)</f>
        <v>0</v>
      </c>
      <c r="AA18" s="10">
        <v>3</v>
      </c>
    </row>
    <row r="19" spans="1:27" ht="16.5" customHeight="1" x14ac:dyDescent="0.3">
      <c r="A19" s="27"/>
      <c r="B19" s="13"/>
      <c r="C19" s="2"/>
      <c r="D19" s="7"/>
      <c r="E19" s="5"/>
      <c r="F19" s="105">
        <f t="shared" si="0"/>
        <v>0</v>
      </c>
      <c r="G19" s="106">
        <f t="shared" si="1"/>
        <v>0</v>
      </c>
      <c r="H19" s="107">
        <f t="shared" si="4"/>
        <v>0</v>
      </c>
      <c r="I19" s="35"/>
      <c r="J19" s="36"/>
      <c r="K19" s="29"/>
      <c r="L19" s="8"/>
      <c r="M19" s="52"/>
      <c r="N19" s="21">
        <v>6</v>
      </c>
      <c r="O19" s="57">
        <f>ROUND((P18-O10)/9,P19)</f>
        <v>4000</v>
      </c>
      <c r="P19" s="58">
        <v>-3</v>
      </c>
      <c r="Q19" s="18"/>
      <c r="S19"/>
      <c r="T19"/>
      <c r="V19" s="15">
        <f>IFERROR((basicLWB-VLOOKUP(B19,$M$10:$N$18,2,FALSE))*E19*F19,0)</f>
        <v>0</v>
      </c>
      <c r="W19" s="12" t="e">
        <f t="shared" si="6"/>
        <v>#DIV/0!</v>
      </c>
      <c r="X19" s="11">
        <v>10</v>
      </c>
      <c r="Y19" s="4" t="b">
        <f t="shared" si="3"/>
        <v>0</v>
      </c>
      <c r="Z19" s="4" cm="1">
        <f t="array" ref="Z19">IFERROR(_xlfn.XLOOKUP(TRUE,Y19:$Y$21,X19:$X$21),0)</f>
        <v>0</v>
      </c>
      <c r="AA19" s="10">
        <v>2.5</v>
      </c>
    </row>
    <row r="20" spans="1:27" ht="16.5" customHeight="1" x14ac:dyDescent="0.3">
      <c r="A20" s="27"/>
      <c r="B20" s="13"/>
      <c r="C20" s="2"/>
      <c r="D20" s="7"/>
      <c r="E20" s="5"/>
      <c r="F20" s="105">
        <f t="shared" si="0"/>
        <v>0</v>
      </c>
      <c r="G20" s="106">
        <f t="shared" si="1"/>
        <v>0</v>
      </c>
      <c r="H20" s="107">
        <f t="shared" si="4"/>
        <v>0</v>
      </c>
      <c r="I20" s="35"/>
      <c r="J20" s="36"/>
      <c r="K20" s="29"/>
      <c r="N20" s="50"/>
      <c r="O20" s="18"/>
      <c r="P20" s="18"/>
      <c r="Q20" s="18"/>
      <c r="S20"/>
      <c r="T20"/>
      <c r="V20" s="15">
        <f>IFERROR((basicLWB-VLOOKUP(B20,$M$10:$N$18,2,FALSE))*E20*F20,0)</f>
        <v>0</v>
      </c>
      <c r="W20" s="12" t="e">
        <f t="shared" si="6"/>
        <v>#DIV/0!</v>
      </c>
      <c r="X20" s="11">
        <v>11</v>
      </c>
      <c r="Y20" s="4" t="b">
        <f t="shared" si="3"/>
        <v>0</v>
      </c>
      <c r="Z20" s="4" cm="1">
        <f t="array" ref="Z20">IFERROR(_xlfn.XLOOKUP(TRUE,Y20:$Y$21,X20:$X$21),0)</f>
        <v>0</v>
      </c>
      <c r="AA20" s="10">
        <v>2</v>
      </c>
    </row>
    <row r="21" spans="1:27" ht="16.5" customHeight="1" x14ac:dyDescent="0.3">
      <c r="A21" s="27"/>
      <c r="B21" s="13"/>
      <c r="C21" s="3"/>
      <c r="D21" s="7"/>
      <c r="E21" s="5"/>
      <c r="F21" s="105">
        <f t="shared" si="0"/>
        <v>0</v>
      </c>
      <c r="G21" s="106">
        <f t="shared" si="1"/>
        <v>0</v>
      </c>
      <c r="H21" s="107">
        <f t="shared" si="4"/>
        <v>0</v>
      </c>
      <c r="I21" s="35"/>
      <c r="J21" s="36"/>
      <c r="K21" s="29"/>
      <c r="N21" s="50"/>
      <c r="O21" s="18"/>
      <c r="P21" s="18"/>
      <c r="Q21" s="18"/>
      <c r="S21"/>
      <c r="T21"/>
      <c r="V21" s="15">
        <f>IFERROR((basicLWB-VLOOKUP(B21,$M$10:$N$18,2,FALSE))*E21*F21,0)</f>
        <v>0</v>
      </c>
      <c r="W21" s="12" t="e">
        <f t="shared" si="6"/>
        <v>#DIV/0!</v>
      </c>
      <c r="X21" s="11">
        <v>12</v>
      </c>
      <c r="Y21" s="4" t="b">
        <f t="shared" si="3"/>
        <v>0</v>
      </c>
      <c r="Z21" s="4" cm="1">
        <f t="array" ref="Z21">IFERROR(_xlfn.XLOOKUP(TRUE,Y21:$Y$21,X21:$X$21),0)</f>
        <v>0</v>
      </c>
      <c r="AA21" s="10">
        <v>1.5</v>
      </c>
    </row>
    <row r="22" spans="1:27" ht="16.5" customHeight="1" x14ac:dyDescent="0.3">
      <c r="A22" s="27"/>
      <c r="B22" s="13"/>
      <c r="C22" s="3"/>
      <c r="D22" s="7"/>
      <c r="E22" s="5"/>
      <c r="F22" s="105">
        <f t="shared" si="0"/>
        <v>0</v>
      </c>
      <c r="G22" s="106">
        <f t="shared" si="1"/>
        <v>0</v>
      </c>
      <c r="H22" s="107">
        <f t="shared" si="4"/>
        <v>0</v>
      </c>
      <c r="I22" s="35"/>
      <c r="J22" s="36"/>
      <c r="K22" s="29"/>
      <c r="N22" s="50"/>
      <c r="O22" s="18"/>
      <c r="P22" s="18"/>
      <c r="Q22" s="18"/>
      <c r="S22"/>
      <c r="T22"/>
      <c r="V22" s="15">
        <f>IFERROR((basicLWB-VLOOKUP(B22,$M$10:$N$18,2,FALSE))*E22*F22,0)</f>
        <v>0</v>
      </c>
      <c r="W22" s="12" t="e">
        <f t="shared" si="6"/>
        <v>#DIV/0!</v>
      </c>
      <c r="X22" s="11"/>
      <c r="Y22" s="4"/>
      <c r="Z22" s="4"/>
      <c r="AA22" s="11">
        <v>1</v>
      </c>
    </row>
    <row r="23" spans="1:27" ht="16.5" customHeight="1" x14ac:dyDescent="0.3">
      <c r="A23" s="27"/>
      <c r="B23" s="13"/>
      <c r="C23" s="3"/>
      <c r="D23" s="7"/>
      <c r="E23" s="5"/>
      <c r="F23" s="105">
        <f t="shared" si="0"/>
        <v>0</v>
      </c>
      <c r="G23" s="106">
        <f t="shared" si="1"/>
        <v>0</v>
      </c>
      <c r="H23" s="107">
        <f t="shared" si="4"/>
        <v>0</v>
      </c>
      <c r="I23" s="35"/>
      <c r="J23" s="36"/>
      <c r="K23" s="29"/>
      <c r="N23" s="50"/>
      <c r="O23" s="18"/>
      <c r="P23" s="18"/>
      <c r="Q23" s="18"/>
      <c r="S23"/>
      <c r="T23"/>
      <c r="V23" s="15">
        <f>IFERROR((basicLWB-VLOOKUP(B23,$M$10:$N$18,2,FALSE))*E23*F23,0)</f>
        <v>0</v>
      </c>
      <c r="W23" s="12" t="e">
        <f t="shared" si="6"/>
        <v>#DIV/0!</v>
      </c>
      <c r="X23" s="11"/>
      <c r="Y23" s="4"/>
      <c r="Z23" s="4"/>
      <c r="AA23" s="4"/>
    </row>
    <row r="24" spans="1:27" ht="16.5" customHeight="1" x14ac:dyDescent="0.3">
      <c r="A24" s="27"/>
      <c r="B24" s="13"/>
      <c r="C24" s="3"/>
      <c r="D24" s="7"/>
      <c r="E24" s="5"/>
      <c r="F24" s="105">
        <f t="shared" si="0"/>
        <v>0</v>
      </c>
      <c r="G24" s="106">
        <f t="shared" si="1"/>
        <v>0</v>
      </c>
      <c r="H24" s="107">
        <f t="shared" si="4"/>
        <v>0</v>
      </c>
      <c r="I24" s="35"/>
      <c r="J24" s="36"/>
      <c r="K24" s="29"/>
      <c r="N24" s="50"/>
      <c r="O24" s="18"/>
      <c r="P24" s="18"/>
      <c r="Q24" s="18"/>
      <c r="S24"/>
      <c r="T24"/>
      <c r="V24" s="15">
        <f>IFERROR((basicLWB-VLOOKUP(B24,$M$10:$N$18,2,FALSE))*E24*F24,0)</f>
        <v>0</v>
      </c>
      <c r="W24" s="12" t="e">
        <f t="shared" si="6"/>
        <v>#DIV/0!</v>
      </c>
      <c r="X24" s="11"/>
      <c r="Y24" s="4"/>
      <c r="Z24" s="4"/>
      <c r="AA24" s="4"/>
    </row>
    <row r="25" spans="1:27" ht="16.5" customHeight="1" x14ac:dyDescent="0.3">
      <c r="A25" s="27"/>
      <c r="B25" s="13"/>
      <c r="C25" s="3"/>
      <c r="D25" s="7"/>
      <c r="E25" s="5"/>
      <c r="F25" s="105">
        <f t="shared" si="0"/>
        <v>0</v>
      </c>
      <c r="G25" s="106">
        <f t="shared" si="1"/>
        <v>0</v>
      </c>
      <c r="H25" s="107">
        <f t="shared" si="4"/>
        <v>0</v>
      </c>
      <c r="I25" s="35"/>
      <c r="J25" s="36"/>
      <c r="K25" s="29"/>
      <c r="N25" s="50"/>
      <c r="O25" s="18"/>
      <c r="P25" s="18"/>
      <c r="Q25" s="18"/>
      <c r="S25"/>
      <c r="T25"/>
      <c r="V25" s="15">
        <f>IFERROR((basicLWB-VLOOKUP(B25,$M$10:$N$18,2,FALSE))*E25*F25,0)</f>
        <v>0</v>
      </c>
      <c r="W25" s="12" t="e">
        <f t="shared" si="6"/>
        <v>#DIV/0!</v>
      </c>
      <c r="X25" s="11"/>
      <c r="Y25" s="4"/>
      <c r="Z25" s="4"/>
      <c r="AA25" s="4"/>
    </row>
    <row r="26" spans="1:27" ht="16.5" customHeight="1" x14ac:dyDescent="0.3">
      <c r="A26" s="27"/>
      <c r="B26" s="13"/>
      <c r="C26" s="3"/>
      <c r="D26" s="7"/>
      <c r="E26" s="5"/>
      <c r="F26" s="105">
        <f t="shared" si="0"/>
        <v>0</v>
      </c>
      <c r="G26" s="106">
        <f t="shared" si="1"/>
        <v>0</v>
      </c>
      <c r="H26" s="107">
        <f t="shared" si="4"/>
        <v>0</v>
      </c>
      <c r="I26" s="35"/>
      <c r="J26" s="36"/>
      <c r="K26" s="29"/>
      <c r="N26" s="50"/>
      <c r="O26" s="18"/>
      <c r="P26" s="18"/>
      <c r="Q26" s="18"/>
      <c r="S26"/>
      <c r="T26"/>
      <c r="V26" s="15">
        <f>IFERROR((basicLWB-VLOOKUP(B26,$M$10:$N$18,2,FALSE))*E26*F26,0)</f>
        <v>0</v>
      </c>
      <c r="W26" s="12" t="e">
        <f t="shared" si="6"/>
        <v>#DIV/0!</v>
      </c>
      <c r="X26" s="11"/>
      <c r="Y26" s="4"/>
      <c r="Z26" s="4"/>
      <c r="AA26" s="4"/>
    </row>
    <row r="27" spans="1:27" ht="16.5" customHeight="1" x14ac:dyDescent="0.3">
      <c r="A27" s="27"/>
      <c r="B27" s="13"/>
      <c r="C27" s="3"/>
      <c r="D27" s="7"/>
      <c r="E27" s="5"/>
      <c r="F27" s="105">
        <f t="shared" si="0"/>
        <v>0</v>
      </c>
      <c r="G27" s="106">
        <f t="shared" si="1"/>
        <v>0</v>
      </c>
      <c r="H27" s="107">
        <f t="shared" si="4"/>
        <v>0</v>
      </c>
      <c r="I27" s="35"/>
      <c r="J27" s="36"/>
      <c r="K27" s="29"/>
      <c r="N27" s="50"/>
      <c r="O27" s="18"/>
      <c r="P27" s="18"/>
      <c r="Q27" s="18"/>
      <c r="S27"/>
      <c r="T27"/>
      <c r="V27" s="15">
        <f>IFERROR((basicLWB-VLOOKUP(B27,$M$10:$N$18,2,FALSE))*E27*F27,0)</f>
        <v>0</v>
      </c>
      <c r="W27" s="12" t="e">
        <f t="shared" si="6"/>
        <v>#DIV/0!</v>
      </c>
      <c r="X27" s="11"/>
      <c r="Y27" s="4"/>
      <c r="Z27" s="4"/>
      <c r="AA27" s="4"/>
    </row>
    <row r="28" spans="1:27" ht="16.5" customHeight="1" x14ac:dyDescent="0.3">
      <c r="A28" s="27"/>
      <c r="B28" s="13"/>
      <c r="C28" s="3"/>
      <c r="D28" s="7"/>
      <c r="E28" s="5"/>
      <c r="F28" s="105">
        <f t="shared" si="0"/>
        <v>0</v>
      </c>
      <c r="G28" s="106">
        <f t="shared" si="1"/>
        <v>0</v>
      </c>
      <c r="H28" s="107">
        <f t="shared" si="4"/>
        <v>0</v>
      </c>
      <c r="I28" s="35"/>
      <c r="J28" s="36"/>
      <c r="K28" s="29"/>
      <c r="N28" s="50"/>
      <c r="O28" s="18"/>
      <c r="P28" s="18"/>
      <c r="Q28" s="18"/>
      <c r="S28"/>
      <c r="T28"/>
      <c r="V28" s="15">
        <f>IFERROR((basicLWB-VLOOKUP(B28,$M$10:$N$18,2,FALSE))*E28*F28,0)</f>
        <v>0</v>
      </c>
      <c r="W28" s="12" t="e">
        <f t="shared" si="6"/>
        <v>#DIV/0!</v>
      </c>
      <c r="X28" s="11"/>
      <c r="Y28" s="4"/>
      <c r="Z28" s="4"/>
      <c r="AA28" s="4"/>
    </row>
    <row r="29" spans="1:27" ht="16.5" customHeight="1" x14ac:dyDescent="0.3">
      <c r="A29" s="27"/>
      <c r="B29" s="13"/>
      <c r="C29" s="3"/>
      <c r="D29" s="7"/>
      <c r="E29" s="5"/>
      <c r="F29" s="105">
        <f t="shared" si="0"/>
        <v>0</v>
      </c>
      <c r="G29" s="106">
        <f t="shared" si="1"/>
        <v>0</v>
      </c>
      <c r="H29" s="107">
        <f t="shared" si="4"/>
        <v>0</v>
      </c>
      <c r="I29" s="35"/>
      <c r="J29" s="17"/>
      <c r="K29" s="29"/>
      <c r="N29" s="50"/>
      <c r="O29" s="18"/>
      <c r="P29" s="18"/>
      <c r="Q29" s="18"/>
      <c r="S29"/>
      <c r="T29"/>
      <c r="V29" s="15">
        <f>IFERROR((basicLWB-VLOOKUP(B29,$M$10:$N$18,2,FALSE))*E29*F29,0)</f>
        <v>0</v>
      </c>
      <c r="W29" s="12" t="e">
        <f t="shared" si="6"/>
        <v>#DIV/0!</v>
      </c>
      <c r="X29" s="11"/>
      <c r="Y29" s="4"/>
      <c r="Z29" s="4"/>
      <c r="AA29" s="4"/>
    </row>
    <row r="30" spans="1:27" ht="16.5" customHeight="1" x14ac:dyDescent="0.3">
      <c r="A30" s="27"/>
      <c r="B30" s="13"/>
      <c r="C30" s="3"/>
      <c r="D30" s="7"/>
      <c r="E30" s="5"/>
      <c r="F30" s="105">
        <f t="shared" si="0"/>
        <v>0</v>
      </c>
      <c r="G30" s="106">
        <f t="shared" si="1"/>
        <v>0</v>
      </c>
      <c r="H30" s="107">
        <f t="shared" si="4"/>
        <v>0</v>
      </c>
      <c r="I30" s="35"/>
      <c r="J30" s="37"/>
      <c r="K30" s="29"/>
      <c r="N30" s="50"/>
      <c r="O30" s="18"/>
      <c r="P30" s="18"/>
      <c r="Q30" s="18"/>
      <c r="S30"/>
      <c r="T30"/>
      <c r="V30" s="15">
        <f>IFERROR((basicLWB-VLOOKUP(B30,$M$10:$N$18,2,FALSE))*E30*F30,0)</f>
        <v>0</v>
      </c>
      <c r="W30" s="12" t="e">
        <f t="shared" si="6"/>
        <v>#DIV/0!</v>
      </c>
      <c r="X30" s="11"/>
      <c r="Y30" s="4"/>
      <c r="Z30" s="4"/>
      <c r="AA30" s="4"/>
    </row>
    <row r="31" spans="1:27" ht="16.5" customHeight="1" x14ac:dyDescent="0.3">
      <c r="A31" s="27"/>
      <c r="B31" s="13"/>
      <c r="C31" s="3"/>
      <c r="D31" s="7"/>
      <c r="E31" s="5"/>
      <c r="F31" s="105">
        <f t="shared" si="0"/>
        <v>0</v>
      </c>
      <c r="G31" s="106">
        <f t="shared" si="1"/>
        <v>0</v>
      </c>
      <c r="H31" s="107">
        <f t="shared" si="4"/>
        <v>0</v>
      </c>
      <c r="I31" s="35"/>
      <c r="J31" s="17"/>
      <c r="K31" s="29"/>
      <c r="N31" s="50"/>
      <c r="O31" s="18"/>
      <c r="P31" s="18"/>
      <c r="Q31" s="18"/>
      <c r="S31"/>
      <c r="T31"/>
      <c r="V31" s="15">
        <f>IFERROR((basicLWB-VLOOKUP(B31,$M$10:$N$18,2,FALSE))*E31*F31,0)</f>
        <v>0</v>
      </c>
      <c r="W31" s="12" t="e">
        <f t="shared" si="6"/>
        <v>#DIV/0!</v>
      </c>
      <c r="X31" s="11"/>
      <c r="Y31" s="4"/>
      <c r="Z31" s="4"/>
      <c r="AA31" s="4"/>
    </row>
    <row r="32" spans="1:27" ht="16.5" customHeight="1" x14ac:dyDescent="0.3">
      <c r="A32" s="27"/>
      <c r="B32" s="14"/>
      <c r="C32" s="3"/>
      <c r="D32" s="1"/>
      <c r="E32" s="5"/>
      <c r="F32" s="105">
        <f t="shared" si="0"/>
        <v>0</v>
      </c>
      <c r="G32" s="106">
        <f t="shared" si="1"/>
        <v>0</v>
      </c>
      <c r="H32" s="107">
        <f t="shared" si="4"/>
        <v>0</v>
      </c>
      <c r="I32" s="35"/>
      <c r="J32" s="17"/>
      <c r="K32" s="29"/>
      <c r="N32" s="50"/>
      <c r="O32" s="18"/>
      <c r="P32" s="18"/>
      <c r="Q32" s="18"/>
      <c r="S32"/>
      <c r="T32"/>
      <c r="V32" s="15">
        <f>IFERROR((basicLWB-VLOOKUP(B32,$M$10:$N$18,2,FALSE))*E32*F32,0)</f>
        <v>0</v>
      </c>
      <c r="W32" s="12" t="e">
        <f t="shared" si="6"/>
        <v>#DIV/0!</v>
      </c>
      <c r="X32" s="11"/>
      <c r="Y32" s="4"/>
      <c r="Z32" s="4"/>
      <c r="AA32" s="4"/>
    </row>
    <row r="33" spans="1:27" ht="16.5" customHeight="1" x14ac:dyDescent="0.3">
      <c r="A33" s="27"/>
      <c r="B33" s="14"/>
      <c r="C33" s="3"/>
      <c r="D33" s="1"/>
      <c r="E33" s="5"/>
      <c r="F33" s="105">
        <f t="shared" si="0"/>
        <v>0</v>
      </c>
      <c r="G33" s="106">
        <f t="shared" si="1"/>
        <v>0</v>
      </c>
      <c r="H33" s="107">
        <f t="shared" si="4"/>
        <v>0</v>
      </c>
      <c r="I33" s="35"/>
      <c r="J33" s="17"/>
      <c r="K33" s="29"/>
      <c r="O33" s="18"/>
      <c r="P33" s="18"/>
      <c r="Q33" s="18"/>
      <c r="S33"/>
      <c r="T33"/>
      <c r="V33" s="15">
        <f>IFERROR((basicLWB-VLOOKUP(B33,$M$10:$N$18,2,FALSE))*E33*F33,0)</f>
        <v>0</v>
      </c>
      <c r="W33" s="12" t="e">
        <f t="shared" si="6"/>
        <v>#DIV/0!</v>
      </c>
      <c r="X33" s="11"/>
      <c r="Y33" s="4"/>
      <c r="Z33" s="4"/>
      <c r="AA33" s="4"/>
    </row>
    <row r="34" spans="1:27" ht="16.5" customHeight="1" x14ac:dyDescent="0.3">
      <c r="A34" s="27"/>
      <c r="B34" s="14"/>
      <c r="C34" s="3"/>
      <c r="D34" s="1"/>
      <c r="E34" s="5"/>
      <c r="F34" s="105">
        <f t="shared" si="0"/>
        <v>0</v>
      </c>
      <c r="G34" s="106">
        <f t="shared" si="1"/>
        <v>0</v>
      </c>
      <c r="H34" s="107">
        <f t="shared" si="4"/>
        <v>0</v>
      </c>
      <c r="I34" s="35"/>
      <c r="J34" s="17"/>
      <c r="K34" s="29"/>
      <c r="O34" s="18"/>
      <c r="P34" s="18"/>
      <c r="Q34" s="18"/>
      <c r="S34"/>
      <c r="T34"/>
      <c r="V34" s="15">
        <f>IFERROR((basicLWB-VLOOKUP(B34,$M$10:$N$18,2,FALSE))*E34*F34,0)</f>
        <v>0</v>
      </c>
      <c r="W34" s="12" t="e">
        <f t="shared" ref="W34:W40" si="8">+V34/LWgap</f>
        <v>#DIV/0!</v>
      </c>
      <c r="X34" s="11"/>
      <c r="Y34" s="4"/>
      <c r="Z34" s="4"/>
      <c r="AA34" s="4"/>
    </row>
    <row r="35" spans="1:27" ht="16.5" customHeight="1" x14ac:dyDescent="0.3">
      <c r="A35" s="27"/>
      <c r="B35" s="14"/>
      <c r="C35" s="3"/>
      <c r="D35" s="1"/>
      <c r="E35" s="5"/>
      <c r="F35" s="105">
        <f t="shared" si="0"/>
        <v>0</v>
      </c>
      <c r="G35" s="106">
        <f t="shared" si="1"/>
        <v>0</v>
      </c>
      <c r="H35" s="107">
        <f t="shared" si="4"/>
        <v>0</v>
      </c>
      <c r="I35" s="35"/>
      <c r="J35" s="17"/>
      <c r="K35" s="29"/>
      <c r="O35" s="18"/>
      <c r="P35" s="18"/>
      <c r="Q35" s="18"/>
      <c r="S35"/>
      <c r="T35"/>
      <c r="V35" s="15">
        <f>IFERROR((basicLWB-VLOOKUP(B35,$M$10:$N$18,2,FALSE))*E35*F35,0)</f>
        <v>0</v>
      </c>
      <c r="W35" s="12" t="e">
        <f t="shared" si="8"/>
        <v>#DIV/0!</v>
      </c>
      <c r="X35" s="11"/>
      <c r="Y35" s="4"/>
      <c r="Z35" s="4"/>
      <c r="AA35" s="4"/>
    </row>
    <row r="36" spans="1:27" ht="16.5" customHeight="1" x14ac:dyDescent="0.3">
      <c r="A36" s="27"/>
      <c r="B36" s="14"/>
      <c r="C36" s="3"/>
      <c r="D36" s="1"/>
      <c r="E36" s="5"/>
      <c r="F36" s="105">
        <f t="shared" si="0"/>
        <v>0</v>
      </c>
      <c r="G36" s="106">
        <f t="shared" si="1"/>
        <v>0</v>
      </c>
      <c r="H36" s="107">
        <f t="shared" si="4"/>
        <v>0</v>
      </c>
      <c r="I36" s="35"/>
      <c r="J36" s="37"/>
      <c r="K36" s="29"/>
      <c r="O36" s="18"/>
      <c r="P36" s="18"/>
      <c r="Q36" s="18"/>
      <c r="S36"/>
      <c r="T36"/>
      <c r="V36" s="15">
        <f>IFERROR((basicLWB-VLOOKUP(B36,$M$10:$N$18,2,FALSE))*E36*F36,0)</f>
        <v>0</v>
      </c>
      <c r="W36" s="12" t="e">
        <f t="shared" si="8"/>
        <v>#DIV/0!</v>
      </c>
      <c r="X36" s="11"/>
      <c r="Y36" s="4"/>
      <c r="Z36" s="4"/>
      <c r="AA36" s="4"/>
    </row>
    <row r="37" spans="1:27" ht="16.5" customHeight="1" x14ac:dyDescent="0.3">
      <c r="A37" s="27"/>
      <c r="B37" s="14"/>
      <c r="C37" s="3"/>
      <c r="D37" s="1"/>
      <c r="E37" s="5"/>
      <c r="F37" s="105">
        <f t="shared" si="0"/>
        <v>0</v>
      </c>
      <c r="G37" s="106">
        <f t="shared" si="1"/>
        <v>0</v>
      </c>
      <c r="H37" s="107">
        <f t="shared" si="4"/>
        <v>0</v>
      </c>
      <c r="I37" s="35"/>
      <c r="J37" s="37"/>
      <c r="K37" s="29"/>
      <c r="O37" s="18"/>
      <c r="P37" s="18"/>
      <c r="Q37" s="18"/>
      <c r="S37"/>
      <c r="T37"/>
      <c r="V37" s="15">
        <f>IFERROR((basicLWB-VLOOKUP(B37,$M$10:$N$18,2,FALSE))*E37*F37,0)</f>
        <v>0</v>
      </c>
      <c r="W37" s="12" t="e">
        <f t="shared" si="8"/>
        <v>#DIV/0!</v>
      </c>
      <c r="X37" s="11"/>
      <c r="Y37" s="4"/>
      <c r="Z37" s="4"/>
      <c r="AA37" s="4"/>
    </row>
    <row r="38" spans="1:27" ht="16.5" customHeight="1" x14ac:dyDescent="0.3">
      <c r="A38" s="27"/>
      <c r="B38" s="14"/>
      <c r="C38" s="3"/>
      <c r="D38" s="1"/>
      <c r="E38" s="5"/>
      <c r="F38" s="105">
        <f t="shared" si="0"/>
        <v>0</v>
      </c>
      <c r="G38" s="106">
        <f t="shared" si="1"/>
        <v>0</v>
      </c>
      <c r="H38" s="107">
        <f t="shared" si="4"/>
        <v>0</v>
      </c>
      <c r="I38" s="35"/>
      <c r="J38" s="17"/>
      <c r="K38" s="29"/>
      <c r="O38" s="18"/>
      <c r="P38" s="18"/>
      <c r="Q38" s="18"/>
      <c r="S38"/>
      <c r="T38"/>
      <c r="V38" s="15">
        <f>IFERROR((basicLWB-VLOOKUP(B38,$M$10:$N$18,2,FALSE))*E38*F38,0)</f>
        <v>0</v>
      </c>
      <c r="W38" s="12" t="e">
        <f t="shared" si="8"/>
        <v>#DIV/0!</v>
      </c>
      <c r="X38" s="11"/>
      <c r="Y38" s="4"/>
      <c r="Z38" s="4"/>
      <c r="AA38" s="4"/>
    </row>
    <row r="39" spans="1:27" ht="16.5" customHeight="1" x14ac:dyDescent="0.3">
      <c r="A39" s="27"/>
      <c r="B39" s="14"/>
      <c r="C39" s="3"/>
      <c r="D39" s="1"/>
      <c r="E39" s="5"/>
      <c r="F39" s="105">
        <f t="shared" si="0"/>
        <v>0</v>
      </c>
      <c r="G39" s="106">
        <f t="shared" si="1"/>
        <v>0</v>
      </c>
      <c r="H39" s="107">
        <f t="shared" si="4"/>
        <v>0</v>
      </c>
      <c r="I39" s="35"/>
      <c r="J39" s="17"/>
      <c r="K39" s="29"/>
      <c r="O39" s="18"/>
      <c r="P39" s="18"/>
      <c r="Q39" s="18"/>
      <c r="S39"/>
      <c r="T39"/>
      <c r="V39" s="15">
        <f>IFERROR((basicLWB-VLOOKUP(B39,$M$10:$N$18,2,FALSE))*E39*F39,0)</f>
        <v>0</v>
      </c>
      <c r="W39" s="12" t="e">
        <f t="shared" si="8"/>
        <v>#DIV/0!</v>
      </c>
      <c r="X39" s="11"/>
      <c r="Y39" s="4"/>
      <c r="Z39" s="4"/>
      <c r="AA39" s="4"/>
    </row>
    <row r="40" spans="1:27" ht="16.5" customHeight="1" thickBot="1" x14ac:dyDescent="0.35">
      <c r="A40" s="27"/>
      <c r="B40" s="14"/>
      <c r="C40" s="3"/>
      <c r="D40" s="1"/>
      <c r="E40" s="5"/>
      <c r="F40" s="105">
        <f t="shared" si="0"/>
        <v>0</v>
      </c>
      <c r="G40" s="106">
        <f t="shared" si="1"/>
        <v>0</v>
      </c>
      <c r="H40" s="107">
        <f t="shared" si="4"/>
        <v>0</v>
      </c>
      <c r="I40" s="35"/>
      <c r="J40" s="17"/>
      <c r="K40" s="29"/>
      <c r="O40" s="18"/>
      <c r="P40" s="18"/>
      <c r="Q40" s="18"/>
      <c r="S40"/>
      <c r="T40"/>
      <c r="V40" s="15">
        <f>IFERROR((basicLWB-VLOOKUP(B40,$M$10:$N$18,2,FALSE))*E40*F40,0)</f>
        <v>0</v>
      </c>
      <c r="W40" s="12" t="e">
        <f t="shared" si="8"/>
        <v>#DIV/0!</v>
      </c>
      <c r="X40" s="11"/>
      <c r="Y40" s="4"/>
      <c r="Z40" s="4"/>
      <c r="AA40" s="4"/>
    </row>
    <row r="41" spans="1:27" ht="16.5" customHeight="1" thickBot="1" x14ac:dyDescent="0.35">
      <c r="A41" s="27"/>
      <c r="B41" s="100" t="s">
        <v>48</v>
      </c>
      <c r="C41" s="101">
        <f>SUM(C10:C40)</f>
        <v>0</v>
      </c>
      <c r="D41" s="101"/>
      <c r="E41" s="102"/>
      <c r="F41" s="102">
        <f>SUM(F10:F40)</f>
        <v>0</v>
      </c>
      <c r="G41" s="103">
        <f>SUM(G10:G40)</f>
        <v>0</v>
      </c>
      <c r="H41" s="104"/>
      <c r="I41" s="38"/>
      <c r="J41" s="17"/>
      <c r="K41" s="29"/>
      <c r="O41" s="18"/>
      <c r="P41" s="18"/>
      <c r="Q41" s="18"/>
      <c r="S41"/>
      <c r="T41"/>
      <c r="V41" s="16">
        <f>SUM(V10:V40)</f>
        <v>0</v>
      </c>
      <c r="W41" s="9" t="e">
        <f>SUM(W10:W40)</f>
        <v>#DIV/0!</v>
      </c>
      <c r="X41" s="11"/>
      <c r="Y41" s="4"/>
      <c r="Z41" s="4"/>
      <c r="AA41" s="4"/>
    </row>
    <row r="42" spans="1:27" ht="15.75" customHeight="1" thickBot="1" x14ac:dyDescent="0.35">
      <c r="A42" s="27"/>
      <c r="B42" s="17"/>
      <c r="C42" s="17"/>
      <c r="D42" s="17"/>
      <c r="E42" s="17"/>
      <c r="F42" s="17"/>
      <c r="G42" s="17"/>
      <c r="H42" s="17"/>
      <c r="I42" s="17"/>
      <c r="J42" s="17"/>
      <c r="K42" s="29"/>
      <c r="O42" s="18"/>
      <c r="P42" s="18"/>
      <c r="Q42" s="18"/>
      <c r="S42"/>
      <c r="T42"/>
    </row>
    <row r="43" spans="1:27" ht="15.75" customHeight="1" thickBot="1" x14ac:dyDescent="0.35">
      <c r="A43" s="27"/>
      <c r="B43" s="130" t="s">
        <v>64</v>
      </c>
      <c r="C43" s="131"/>
      <c r="D43" s="124" t="s">
        <v>65</v>
      </c>
      <c r="E43" s="125"/>
      <c r="F43" s="125"/>
      <c r="G43" s="126"/>
      <c r="H43" s="104">
        <f>+D6*0.3</f>
        <v>0</v>
      </c>
      <c r="I43" s="45" t="str">
        <f>T9&amp;"/"&amp;D5&amp;" mois-période"</f>
        <v>CA CFA francs/ mois-période</v>
      </c>
      <c r="J43" s="17"/>
      <c r="K43" s="29"/>
      <c r="O43" s="18"/>
      <c r="P43" s="18"/>
      <c r="Q43" s="18"/>
      <c r="S43"/>
      <c r="T43"/>
    </row>
    <row r="44" spans="1:27" ht="15.75" customHeight="1" thickBot="1" x14ac:dyDescent="0.35">
      <c r="A44" s="27"/>
      <c r="B44" s="132"/>
      <c r="C44" s="133"/>
      <c r="D44" s="127" t="s">
        <v>66</v>
      </c>
      <c r="E44" s="128"/>
      <c r="F44" s="128"/>
      <c r="G44" s="129"/>
      <c r="H44" s="104">
        <f>G41</f>
        <v>0</v>
      </c>
      <c r="I44" s="45" t="str">
        <f>I43</f>
        <v>CA CFA francs/ mois-période</v>
      </c>
      <c r="J44" s="17"/>
      <c r="K44" s="29"/>
      <c r="O44" s="18"/>
      <c r="P44" s="18"/>
      <c r="Q44" s="18"/>
      <c r="S44"/>
      <c r="T44"/>
    </row>
    <row r="45" spans="1:27" ht="6.75" customHeight="1" x14ac:dyDescent="0.3">
      <c r="A45" s="27"/>
      <c r="B45" s="17"/>
      <c r="C45" s="17"/>
      <c r="D45" s="17"/>
      <c r="E45" s="17"/>
      <c r="F45" s="17"/>
      <c r="G45" s="17"/>
      <c r="H45" s="17"/>
      <c r="I45" s="17"/>
      <c r="J45" s="17"/>
      <c r="K45" s="29"/>
      <c r="O45" s="18"/>
      <c r="P45" s="18"/>
      <c r="Q45" s="18"/>
      <c r="S45"/>
      <c r="T45"/>
    </row>
    <row r="46" spans="1:27" ht="15.75" customHeight="1" x14ac:dyDescent="0.3">
      <c r="A46" s="27"/>
      <c r="B46" s="17"/>
      <c r="C46" s="17"/>
      <c r="D46" s="17"/>
      <c r="E46" s="17"/>
      <c r="F46" s="17"/>
      <c r="G46" s="17"/>
      <c r="H46" s="17"/>
      <c r="I46" s="17"/>
      <c r="J46" s="17"/>
      <c r="K46" s="29"/>
      <c r="O46" s="18"/>
      <c r="P46" s="18"/>
      <c r="Q46" s="18"/>
      <c r="S46"/>
      <c r="T46"/>
    </row>
    <row r="47" spans="1:27" ht="15" thickBot="1" x14ac:dyDescent="0.35">
      <c r="A47" s="39"/>
      <c r="B47" s="40"/>
      <c r="C47" s="40"/>
      <c r="D47" s="40"/>
      <c r="E47" s="40"/>
      <c r="F47" s="40"/>
      <c r="G47" s="40"/>
      <c r="H47" s="40"/>
      <c r="I47" s="40"/>
      <c r="J47" s="40"/>
      <c r="K47" s="41"/>
      <c r="O47" s="18"/>
      <c r="P47" s="18"/>
      <c r="Q47" s="18"/>
      <c r="S47"/>
      <c r="T47"/>
    </row>
    <row r="48" spans="1:27" x14ac:dyDescent="0.3">
      <c r="M48" s="108"/>
      <c r="O48" s="42"/>
      <c r="P48" s="42"/>
      <c r="Q48" s="42"/>
      <c r="R48" s="46"/>
      <c r="S48" s="43"/>
      <c r="T48" s="46"/>
    </row>
    <row r="49" spans="13:20" ht="15.6" x14ac:dyDescent="0.3">
      <c r="M49" s="52"/>
      <c r="N49" s="53"/>
      <c r="O49" s="54"/>
      <c r="P49" s="55"/>
      <c r="Q49" s="42"/>
      <c r="R49" s="56"/>
      <c r="S49" s="46"/>
      <c r="T49" s="46"/>
    </row>
    <row r="50" spans="13:20" ht="15.6" x14ac:dyDescent="0.3">
      <c r="M50" s="52"/>
      <c r="N50" s="53"/>
      <c r="O50" s="55"/>
      <c r="P50" s="55"/>
      <c r="Q50" s="42"/>
      <c r="R50" s="56"/>
      <c r="S50" s="46"/>
      <c r="T50" s="46"/>
    </row>
    <row r="51" spans="13:20" ht="15.6" x14ac:dyDescent="0.3">
      <c r="M51" s="52"/>
      <c r="N51" s="53"/>
      <c r="O51" s="55"/>
      <c r="P51" s="55"/>
      <c r="Q51" s="42"/>
      <c r="R51" s="56"/>
      <c r="S51" s="46"/>
      <c r="T51" s="46"/>
    </row>
    <row r="52" spans="13:20" ht="15.6" x14ac:dyDescent="0.3">
      <c r="M52" s="52"/>
      <c r="N52" s="53"/>
      <c r="O52" s="55"/>
      <c r="P52" s="55"/>
      <c r="Q52" s="42"/>
      <c r="R52" s="56"/>
      <c r="S52" s="46"/>
      <c r="T52" s="46"/>
    </row>
    <row r="53" spans="13:20" ht="15.6" x14ac:dyDescent="0.3">
      <c r="M53" s="52"/>
      <c r="N53" s="53"/>
      <c r="O53" s="55"/>
      <c r="P53" s="55"/>
      <c r="Q53" s="42"/>
      <c r="R53" s="56"/>
      <c r="S53" s="46"/>
      <c r="T53" s="46"/>
    </row>
    <row r="54" spans="13:20" ht="15.6" x14ac:dyDescent="0.3">
      <c r="M54" s="52"/>
      <c r="N54" s="53"/>
      <c r="O54" s="55"/>
      <c r="P54" s="55"/>
      <c r="Q54" s="42"/>
      <c r="R54" s="56"/>
      <c r="S54" s="46"/>
      <c r="T54" s="46"/>
    </row>
    <row r="55" spans="13:20" ht="15.6" x14ac:dyDescent="0.3">
      <c r="M55" s="52"/>
      <c r="N55" s="53"/>
      <c r="O55" s="55"/>
      <c r="P55" s="55"/>
      <c r="Q55" s="42"/>
      <c r="R55" s="56"/>
      <c r="S55" s="46"/>
      <c r="T55" s="46"/>
    </row>
    <row r="56" spans="13:20" ht="15.6" x14ac:dyDescent="0.3">
      <c r="M56" s="52"/>
      <c r="N56" s="53"/>
      <c r="O56" s="55"/>
      <c r="P56" s="55"/>
      <c r="Q56" s="42"/>
      <c r="R56" s="56"/>
      <c r="S56" s="46"/>
      <c r="T56" s="46"/>
    </row>
    <row r="57" spans="13:20" ht="15.6" x14ac:dyDescent="0.3">
      <c r="M57" s="52"/>
      <c r="N57" s="53"/>
      <c r="O57" s="55"/>
      <c r="P57" s="54"/>
      <c r="Q57" s="42"/>
      <c r="R57" s="56"/>
      <c r="S57" s="46"/>
      <c r="T57" s="46"/>
    </row>
    <row r="58" spans="13:20" x14ac:dyDescent="0.3">
      <c r="O58" s="57"/>
      <c r="P58" s="109"/>
      <c r="Q58" s="42"/>
      <c r="R58" s="46"/>
      <c r="S58" s="46"/>
      <c r="T58" s="46"/>
    </row>
    <row r="59" spans="13:20" x14ac:dyDescent="0.3">
      <c r="M59" s="108"/>
      <c r="O59" s="42"/>
      <c r="P59" s="42"/>
      <c r="Q59" s="42"/>
      <c r="R59" s="46"/>
      <c r="S59" s="43"/>
      <c r="T59" s="46"/>
    </row>
    <row r="60" spans="13:20" ht="15.6" x14ac:dyDescent="0.3">
      <c r="M60" s="52"/>
      <c r="N60" s="53"/>
      <c r="O60" s="54"/>
      <c r="P60" s="55"/>
      <c r="Q60" s="42"/>
      <c r="R60" s="56"/>
      <c r="S60" s="46"/>
      <c r="T60" s="46"/>
    </row>
    <row r="61" spans="13:20" ht="15.6" x14ac:dyDescent="0.3">
      <c r="M61" s="52"/>
      <c r="N61" s="53"/>
      <c r="O61" s="55"/>
      <c r="P61" s="55"/>
      <c r="Q61" s="42"/>
      <c r="R61" s="56"/>
      <c r="S61" s="46"/>
      <c r="T61" s="46"/>
    </row>
    <row r="62" spans="13:20" ht="15.6" x14ac:dyDescent="0.3">
      <c r="M62" s="52"/>
      <c r="N62" s="53"/>
      <c r="O62" s="55"/>
      <c r="P62" s="55"/>
      <c r="Q62" s="42"/>
      <c r="R62" s="56"/>
      <c r="S62" s="46"/>
      <c r="T62" s="46"/>
    </row>
    <row r="63" spans="13:20" ht="15.6" x14ac:dyDescent="0.3">
      <c r="M63" s="52"/>
      <c r="N63" s="53"/>
      <c r="O63" s="55"/>
      <c r="P63" s="55"/>
      <c r="Q63" s="42"/>
      <c r="R63" s="56"/>
      <c r="S63" s="46"/>
      <c r="T63" s="46"/>
    </row>
    <row r="64" spans="13:20" ht="15.6" x14ac:dyDescent="0.3">
      <c r="M64" s="52"/>
      <c r="N64" s="53"/>
      <c r="O64" s="55"/>
      <c r="P64" s="55"/>
      <c r="Q64" s="42"/>
      <c r="R64" s="56"/>
      <c r="S64" s="46"/>
      <c r="T64" s="46"/>
    </row>
    <row r="65" spans="13:20" ht="15.6" x14ac:dyDescent="0.3">
      <c r="M65" s="52"/>
      <c r="N65" s="53"/>
      <c r="O65" s="55"/>
      <c r="P65" s="55"/>
      <c r="Q65" s="42"/>
      <c r="R65" s="56"/>
      <c r="S65" s="46"/>
      <c r="T65" s="46"/>
    </row>
    <row r="66" spans="13:20" ht="15.6" x14ac:dyDescent="0.3">
      <c r="M66" s="52"/>
      <c r="N66" s="53"/>
      <c r="O66" s="55"/>
      <c r="P66" s="55"/>
      <c r="Q66" s="42"/>
      <c r="R66" s="56"/>
      <c r="S66" s="46"/>
      <c r="T66" s="46"/>
    </row>
    <row r="67" spans="13:20" ht="15.6" x14ac:dyDescent="0.3">
      <c r="M67" s="52"/>
      <c r="N67" s="53"/>
      <c r="O67" s="55"/>
      <c r="P67" s="55"/>
      <c r="Q67" s="42"/>
      <c r="R67" s="56"/>
      <c r="S67" s="46"/>
      <c r="T67" s="46"/>
    </row>
    <row r="68" spans="13:20" ht="15.6" x14ac:dyDescent="0.3">
      <c r="M68" s="52"/>
      <c r="N68" s="53"/>
      <c r="O68" s="55"/>
      <c r="P68" s="54"/>
      <c r="Q68" s="42"/>
      <c r="R68" s="56"/>
      <c r="S68" s="46"/>
      <c r="T68" s="46"/>
    </row>
    <row r="69" spans="13:20" x14ac:dyDescent="0.3">
      <c r="O69" s="57"/>
      <c r="P69" s="109"/>
      <c r="Q69" s="42"/>
      <c r="R69" s="46"/>
      <c r="S69" s="46"/>
      <c r="T69" s="46"/>
    </row>
    <row r="70" spans="13:20" x14ac:dyDescent="0.3">
      <c r="M70" s="47"/>
      <c r="O70" s="42"/>
      <c r="P70" s="42"/>
      <c r="Q70" s="42"/>
      <c r="R70" s="46"/>
      <c r="S70" s="43"/>
      <c r="T70" s="46"/>
    </row>
    <row r="71" spans="13:20" ht="15.6" x14ac:dyDescent="0.3">
      <c r="M71" s="52"/>
      <c r="N71" s="53"/>
      <c r="O71" s="54"/>
      <c r="P71" s="55"/>
      <c r="Q71" s="42"/>
      <c r="R71" s="56"/>
      <c r="S71" s="46"/>
      <c r="T71" s="46"/>
    </row>
    <row r="72" spans="13:20" ht="15.6" x14ac:dyDescent="0.3">
      <c r="M72" s="52"/>
      <c r="N72" s="53"/>
      <c r="O72" s="55"/>
      <c r="P72" s="55"/>
      <c r="Q72" s="42"/>
      <c r="R72" s="56"/>
      <c r="S72" s="46"/>
      <c r="T72" s="46"/>
    </row>
    <row r="73" spans="13:20" ht="15.6" x14ac:dyDescent="0.3">
      <c r="M73" s="52"/>
      <c r="N73" s="53"/>
      <c r="O73" s="55"/>
      <c r="P73" s="55"/>
      <c r="Q73" s="42"/>
      <c r="R73" s="56"/>
      <c r="S73" s="46"/>
      <c r="T73" s="46"/>
    </row>
    <row r="74" spans="13:20" ht="15.6" x14ac:dyDescent="0.3">
      <c r="M74" s="52"/>
      <c r="N74" s="53"/>
      <c r="O74" s="55"/>
      <c r="P74" s="55"/>
      <c r="Q74" s="42"/>
      <c r="R74" s="56"/>
      <c r="S74" s="46"/>
      <c r="T74" s="46"/>
    </row>
    <row r="75" spans="13:20" ht="15.6" x14ac:dyDescent="0.3">
      <c r="M75" s="52"/>
      <c r="N75" s="53"/>
      <c r="O75" s="55"/>
      <c r="P75" s="55"/>
      <c r="Q75" s="42"/>
      <c r="R75" s="56"/>
      <c r="S75" s="46"/>
      <c r="T75" s="46"/>
    </row>
    <row r="76" spans="13:20" ht="15.6" x14ac:dyDescent="0.3">
      <c r="M76" s="52"/>
      <c r="N76" s="53"/>
      <c r="O76" s="55"/>
      <c r="P76" s="55"/>
      <c r="Q76" s="42"/>
      <c r="R76" s="56"/>
      <c r="S76" s="46"/>
      <c r="T76" s="46"/>
    </row>
    <row r="77" spans="13:20" ht="15.6" x14ac:dyDescent="0.3">
      <c r="M77" s="52"/>
      <c r="N77" s="53"/>
      <c r="O77" s="55"/>
      <c r="P77" s="55"/>
      <c r="Q77" s="42"/>
      <c r="R77" s="56"/>
      <c r="S77" s="46"/>
      <c r="T77" s="46"/>
    </row>
    <row r="78" spans="13:20" ht="15.6" x14ac:dyDescent="0.3">
      <c r="M78" s="52"/>
      <c r="N78" s="53"/>
      <c r="O78" s="55"/>
      <c r="P78" s="55"/>
      <c r="Q78" s="42"/>
      <c r="R78" s="56"/>
      <c r="S78" s="46"/>
      <c r="T78" s="46"/>
    </row>
    <row r="79" spans="13:20" ht="15.6" x14ac:dyDescent="0.3">
      <c r="M79" s="52"/>
      <c r="N79" s="53"/>
      <c r="O79" s="55"/>
      <c r="P79" s="54"/>
      <c r="Q79" s="42"/>
      <c r="R79" s="56"/>
      <c r="S79" s="46"/>
      <c r="T79" s="46"/>
    </row>
    <row r="80" spans="13:20" x14ac:dyDescent="0.3">
      <c r="O80" s="57"/>
      <c r="P80" s="109"/>
      <c r="Q80" s="42"/>
      <c r="R80" s="46"/>
      <c r="S80" s="46"/>
      <c r="T80" s="46"/>
    </row>
    <row r="81" spans="13:20" x14ac:dyDescent="0.3">
      <c r="M81" s="47"/>
      <c r="O81" s="42"/>
      <c r="P81" s="42"/>
      <c r="Q81" s="42"/>
      <c r="R81" s="46"/>
      <c r="S81" s="43"/>
      <c r="T81" s="46"/>
    </row>
    <row r="82" spans="13:20" ht="15.6" x14ac:dyDescent="0.3">
      <c r="M82" s="52"/>
      <c r="N82" s="53"/>
      <c r="O82" s="54"/>
      <c r="P82" s="55"/>
      <c r="Q82" s="42"/>
      <c r="R82" s="56"/>
      <c r="S82" s="46"/>
      <c r="T82" s="46"/>
    </row>
    <row r="83" spans="13:20" ht="15.6" x14ac:dyDescent="0.3">
      <c r="M83" s="52"/>
      <c r="N83" s="53"/>
      <c r="O83" s="55"/>
      <c r="P83" s="55"/>
      <c r="Q83" s="42"/>
      <c r="R83" s="56"/>
      <c r="S83" s="46"/>
      <c r="T83" s="46"/>
    </row>
    <row r="84" spans="13:20" ht="15.6" x14ac:dyDescent="0.3">
      <c r="M84" s="52"/>
      <c r="N84" s="53"/>
      <c r="O84" s="55"/>
      <c r="P84" s="55"/>
      <c r="Q84" s="42"/>
      <c r="R84" s="56"/>
      <c r="S84" s="46"/>
      <c r="T84" s="46"/>
    </row>
    <row r="85" spans="13:20" ht="15.6" x14ac:dyDescent="0.3">
      <c r="M85" s="52"/>
      <c r="N85" s="53"/>
      <c r="O85" s="55"/>
      <c r="P85" s="55"/>
      <c r="Q85" s="42"/>
      <c r="R85" s="56"/>
      <c r="S85" s="46"/>
      <c r="T85" s="46"/>
    </row>
    <row r="86" spans="13:20" ht="15.6" x14ac:dyDescent="0.3">
      <c r="M86" s="52"/>
      <c r="N86" s="53"/>
      <c r="O86" s="55"/>
      <c r="P86" s="55"/>
      <c r="Q86" s="42"/>
      <c r="R86" s="56"/>
      <c r="S86" s="46"/>
      <c r="T86" s="46"/>
    </row>
    <row r="87" spans="13:20" ht="15.6" x14ac:dyDescent="0.3">
      <c r="M87" s="52"/>
      <c r="N87" s="53"/>
      <c r="O87" s="55"/>
      <c r="P87" s="55"/>
      <c r="Q87" s="42"/>
      <c r="R87" s="56"/>
      <c r="S87" s="46"/>
      <c r="T87" s="46"/>
    </row>
    <row r="88" spans="13:20" ht="15.6" x14ac:dyDescent="0.3">
      <c r="M88" s="52"/>
      <c r="N88" s="53"/>
      <c r="O88" s="55"/>
      <c r="P88" s="55"/>
      <c r="Q88" s="42"/>
      <c r="R88" s="56"/>
      <c r="S88" s="46"/>
      <c r="T88" s="46"/>
    </row>
    <row r="89" spans="13:20" ht="15.6" x14ac:dyDescent="0.3">
      <c r="M89" s="52"/>
      <c r="N89" s="53"/>
      <c r="O89" s="55"/>
      <c r="P89" s="55"/>
      <c r="Q89" s="42"/>
      <c r="R89" s="56"/>
      <c r="S89" s="46"/>
      <c r="T89" s="46"/>
    </row>
    <row r="90" spans="13:20" ht="15.6" x14ac:dyDescent="0.3">
      <c r="M90" s="52"/>
      <c r="N90" s="53"/>
      <c r="O90" s="55"/>
      <c r="P90" s="54"/>
      <c r="Q90" s="42"/>
      <c r="R90" s="56"/>
      <c r="S90" s="46"/>
      <c r="T90" s="46"/>
    </row>
    <row r="91" spans="13:20" x14ac:dyDescent="0.3">
      <c r="O91" s="57"/>
      <c r="P91" s="109"/>
      <c r="Q91" s="42"/>
      <c r="R91" s="46"/>
      <c r="S91" s="46"/>
      <c r="T91" s="46"/>
    </row>
    <row r="92" spans="13:20" x14ac:dyDescent="0.3">
      <c r="M92" s="47"/>
      <c r="O92" s="42"/>
      <c r="P92" s="42"/>
      <c r="Q92" s="42"/>
      <c r="R92" s="46"/>
      <c r="S92" s="43"/>
      <c r="T92" s="46"/>
    </row>
    <row r="93" spans="13:20" ht="15.6" x14ac:dyDescent="0.3">
      <c r="M93" s="52"/>
      <c r="N93" s="53"/>
      <c r="O93" s="54"/>
      <c r="P93" s="55"/>
      <c r="Q93" s="42"/>
      <c r="R93" s="56"/>
      <c r="S93" s="46"/>
      <c r="T93" s="46"/>
    </row>
    <row r="94" spans="13:20" ht="15.6" x14ac:dyDescent="0.3">
      <c r="M94" s="52"/>
      <c r="N94" s="53"/>
      <c r="O94" s="55"/>
      <c r="P94" s="55"/>
      <c r="Q94" s="42"/>
      <c r="R94" s="56"/>
      <c r="S94" s="46"/>
      <c r="T94" s="46"/>
    </row>
    <row r="95" spans="13:20" ht="15.6" x14ac:dyDescent="0.3">
      <c r="M95" s="52"/>
      <c r="N95" s="53"/>
      <c r="O95" s="55"/>
      <c r="P95" s="55"/>
      <c r="Q95" s="42"/>
      <c r="R95" s="56"/>
      <c r="S95" s="46"/>
      <c r="T95" s="46"/>
    </row>
    <row r="96" spans="13:20" ht="15.6" x14ac:dyDescent="0.3">
      <c r="M96" s="52"/>
      <c r="N96" s="53"/>
      <c r="O96" s="55"/>
      <c r="P96" s="55"/>
      <c r="Q96" s="42"/>
      <c r="R96" s="56"/>
      <c r="S96" s="46"/>
      <c r="T96" s="46"/>
    </row>
    <row r="97" spans="13:20" ht="15.6" x14ac:dyDescent="0.3">
      <c r="M97" s="52"/>
      <c r="N97" s="53"/>
      <c r="O97" s="55"/>
      <c r="P97" s="55"/>
      <c r="Q97" s="42"/>
      <c r="R97" s="56"/>
      <c r="S97" s="46"/>
      <c r="T97" s="46"/>
    </row>
    <row r="98" spans="13:20" ht="15.6" x14ac:dyDescent="0.3">
      <c r="M98" s="52"/>
      <c r="N98" s="53"/>
      <c r="O98" s="55"/>
      <c r="P98" s="55"/>
      <c r="Q98" s="42"/>
      <c r="R98" s="56"/>
      <c r="S98" s="46"/>
      <c r="T98" s="46"/>
    </row>
    <row r="99" spans="13:20" ht="15.6" x14ac:dyDescent="0.3">
      <c r="M99" s="52"/>
      <c r="N99" s="53"/>
      <c r="O99" s="55"/>
      <c r="P99" s="55"/>
      <c r="Q99" s="42"/>
      <c r="R99" s="56"/>
      <c r="S99" s="46"/>
      <c r="T99" s="46"/>
    </row>
    <row r="100" spans="13:20" ht="15.6" x14ac:dyDescent="0.3">
      <c r="M100" s="52"/>
      <c r="N100" s="53"/>
      <c r="O100" s="55"/>
      <c r="P100" s="55"/>
      <c r="Q100" s="42"/>
      <c r="R100" s="56"/>
      <c r="S100" s="46"/>
      <c r="T100" s="46"/>
    </row>
    <row r="101" spans="13:20" ht="15.6" x14ac:dyDescent="0.3">
      <c r="M101" s="52"/>
      <c r="N101" s="53"/>
      <c r="O101" s="55"/>
      <c r="P101" s="54"/>
      <c r="Q101" s="42"/>
      <c r="R101" s="56"/>
      <c r="S101" s="46"/>
      <c r="T101" s="46"/>
    </row>
    <row r="102" spans="13:20" x14ac:dyDescent="0.3">
      <c r="O102" s="57"/>
      <c r="P102" s="109"/>
      <c r="Q102" s="42"/>
      <c r="R102" s="46"/>
      <c r="S102" s="46"/>
      <c r="T102" s="46"/>
    </row>
    <row r="103" spans="13:20" x14ac:dyDescent="0.3">
      <c r="M103" s="47"/>
      <c r="O103" s="42"/>
      <c r="P103" s="42"/>
      <c r="Q103" s="42"/>
      <c r="R103" s="46"/>
      <c r="S103" s="43"/>
      <c r="T103" s="46"/>
    </row>
    <row r="104" spans="13:20" ht="15.6" x14ac:dyDescent="0.3">
      <c r="M104" s="52"/>
      <c r="N104" s="53"/>
      <c r="O104" s="54"/>
      <c r="P104" s="55"/>
      <c r="Q104" s="42"/>
      <c r="R104" s="56"/>
      <c r="S104" s="46"/>
      <c r="T104" s="46"/>
    </row>
    <row r="105" spans="13:20" ht="15.6" x14ac:dyDescent="0.3">
      <c r="M105" s="52"/>
      <c r="N105" s="53"/>
      <c r="O105" s="55"/>
      <c r="P105" s="55"/>
      <c r="Q105" s="42"/>
      <c r="R105" s="56"/>
      <c r="S105" s="46"/>
      <c r="T105" s="46"/>
    </row>
    <row r="106" spans="13:20" ht="15.6" x14ac:dyDescent="0.3">
      <c r="M106" s="52"/>
      <c r="N106" s="53"/>
      <c r="O106" s="55"/>
      <c r="P106" s="55"/>
      <c r="Q106" s="42"/>
      <c r="R106" s="56"/>
      <c r="S106" s="46"/>
      <c r="T106" s="46"/>
    </row>
    <row r="107" spans="13:20" ht="15.6" x14ac:dyDescent="0.3">
      <c r="M107" s="52"/>
      <c r="N107" s="53"/>
      <c r="O107" s="55"/>
      <c r="P107" s="55"/>
      <c r="Q107" s="42"/>
      <c r="R107" s="56"/>
      <c r="S107" s="46"/>
      <c r="T107" s="46"/>
    </row>
    <row r="108" spans="13:20" ht="15.6" x14ac:dyDescent="0.3">
      <c r="M108" s="52"/>
      <c r="N108" s="53"/>
      <c r="O108" s="55"/>
      <c r="P108" s="55"/>
      <c r="Q108" s="42"/>
      <c r="R108" s="56"/>
      <c r="S108" s="46"/>
      <c r="T108" s="46"/>
    </row>
    <row r="109" spans="13:20" ht="15.6" x14ac:dyDescent="0.3">
      <c r="M109" s="52"/>
      <c r="N109" s="53"/>
      <c r="O109" s="55"/>
      <c r="P109" s="55"/>
      <c r="Q109" s="42"/>
      <c r="R109" s="56"/>
      <c r="S109" s="46"/>
      <c r="T109" s="46"/>
    </row>
    <row r="110" spans="13:20" ht="15.6" x14ac:dyDescent="0.3">
      <c r="M110" s="52"/>
      <c r="N110" s="53"/>
      <c r="O110" s="55"/>
      <c r="P110" s="55"/>
      <c r="Q110" s="42"/>
      <c r="R110" s="56"/>
      <c r="S110" s="46"/>
      <c r="T110" s="46"/>
    </row>
    <row r="111" spans="13:20" ht="15.6" x14ac:dyDescent="0.3">
      <c r="M111" s="52"/>
      <c r="N111" s="53"/>
      <c r="O111" s="55"/>
      <c r="P111" s="55"/>
      <c r="Q111" s="42"/>
      <c r="R111" s="56"/>
      <c r="S111" s="46"/>
      <c r="T111" s="46"/>
    </row>
    <row r="112" spans="13:20" ht="15.6" x14ac:dyDescent="0.3">
      <c r="M112" s="52"/>
      <c r="N112" s="53"/>
      <c r="O112" s="55"/>
      <c r="P112" s="54"/>
      <c r="Q112" s="42"/>
      <c r="R112" s="56"/>
      <c r="S112" s="46"/>
      <c r="T112" s="46"/>
    </row>
    <row r="113" spans="13:20" x14ac:dyDescent="0.3">
      <c r="O113" s="57"/>
      <c r="P113" s="109"/>
      <c r="Q113" s="42"/>
      <c r="R113" s="46"/>
      <c r="S113" s="46"/>
      <c r="T113" s="46"/>
    </row>
    <row r="114" spans="13:20" x14ac:dyDescent="0.3">
      <c r="M114" s="47"/>
      <c r="O114" s="42"/>
      <c r="P114" s="42"/>
      <c r="Q114" s="42"/>
      <c r="R114" s="46"/>
      <c r="S114" s="43"/>
      <c r="T114" s="46"/>
    </row>
    <row r="115" spans="13:20" ht="15.6" x14ac:dyDescent="0.3">
      <c r="M115" s="52"/>
      <c r="N115" s="53"/>
      <c r="O115" s="54"/>
      <c r="P115" s="55"/>
      <c r="Q115" s="42"/>
      <c r="R115" s="56"/>
      <c r="S115" s="46"/>
      <c r="T115" s="46"/>
    </row>
    <row r="116" spans="13:20" ht="15.6" x14ac:dyDescent="0.3">
      <c r="M116" s="52"/>
      <c r="N116" s="53"/>
      <c r="O116" s="55"/>
      <c r="P116" s="55"/>
      <c r="Q116" s="42"/>
      <c r="R116" s="56"/>
      <c r="S116" s="46"/>
      <c r="T116" s="46"/>
    </row>
    <row r="117" spans="13:20" ht="15.6" x14ac:dyDescent="0.3">
      <c r="M117" s="52"/>
      <c r="N117" s="53"/>
      <c r="O117" s="55"/>
      <c r="P117" s="55"/>
      <c r="Q117" s="42"/>
      <c r="R117" s="56"/>
      <c r="S117" s="46"/>
      <c r="T117" s="46"/>
    </row>
    <row r="118" spans="13:20" ht="15.6" x14ac:dyDescent="0.3">
      <c r="M118" s="52"/>
      <c r="N118" s="53"/>
      <c r="O118" s="55"/>
      <c r="P118" s="55"/>
      <c r="Q118" s="42"/>
      <c r="R118" s="56"/>
      <c r="S118" s="46"/>
      <c r="T118" s="46"/>
    </row>
    <row r="119" spans="13:20" ht="15.6" x14ac:dyDescent="0.3">
      <c r="M119" s="52"/>
      <c r="N119" s="53"/>
      <c r="O119" s="55"/>
      <c r="P119" s="55"/>
      <c r="Q119" s="42"/>
      <c r="R119" s="56"/>
      <c r="S119" s="46"/>
      <c r="T119" s="46"/>
    </row>
    <row r="120" spans="13:20" ht="15.6" x14ac:dyDescent="0.3">
      <c r="M120" s="52"/>
      <c r="N120" s="53"/>
      <c r="O120" s="55"/>
      <c r="P120" s="55"/>
      <c r="Q120" s="42"/>
      <c r="R120" s="56"/>
      <c r="S120" s="46"/>
      <c r="T120" s="46"/>
    </row>
    <row r="121" spans="13:20" ht="15.6" x14ac:dyDescent="0.3">
      <c r="M121" s="52"/>
      <c r="N121" s="53"/>
      <c r="O121" s="55"/>
      <c r="P121" s="55"/>
      <c r="Q121" s="42"/>
      <c r="R121" s="56"/>
      <c r="S121" s="46"/>
      <c r="T121" s="46"/>
    </row>
    <row r="122" spans="13:20" ht="15.6" x14ac:dyDescent="0.3">
      <c r="M122" s="52"/>
      <c r="N122" s="53"/>
      <c r="O122" s="55"/>
      <c r="P122" s="55"/>
      <c r="Q122" s="42"/>
      <c r="R122" s="56"/>
      <c r="S122" s="46"/>
      <c r="T122" s="46"/>
    </row>
    <row r="123" spans="13:20" ht="15.6" x14ac:dyDescent="0.3">
      <c r="M123" s="52"/>
      <c r="N123" s="53"/>
      <c r="O123" s="55"/>
      <c r="P123" s="54"/>
      <c r="Q123" s="42"/>
      <c r="R123" s="56"/>
      <c r="S123" s="46"/>
      <c r="T123" s="46"/>
    </row>
    <row r="124" spans="13:20" x14ac:dyDescent="0.3">
      <c r="O124" s="57"/>
      <c r="P124" s="109"/>
      <c r="Q124" s="42"/>
      <c r="R124" s="46"/>
      <c r="S124" s="46"/>
      <c r="T124" s="46"/>
    </row>
    <row r="125" spans="13:20" x14ac:dyDescent="0.3">
      <c r="M125" s="47"/>
      <c r="O125" s="42"/>
      <c r="P125" s="42"/>
      <c r="Q125" s="42"/>
      <c r="R125" s="46"/>
      <c r="S125" s="43"/>
      <c r="T125" s="43"/>
    </row>
    <row r="126" spans="13:20" ht="15.6" x14ac:dyDescent="0.3">
      <c r="M126" s="52"/>
      <c r="N126" s="53"/>
      <c r="O126" s="54"/>
      <c r="P126" s="55"/>
      <c r="Q126" s="42"/>
      <c r="R126" s="56"/>
      <c r="S126" s="46"/>
      <c r="T126" s="46"/>
    </row>
    <row r="127" spans="13:20" ht="15.6" x14ac:dyDescent="0.3">
      <c r="M127" s="52"/>
      <c r="N127" s="53"/>
      <c r="O127" s="55"/>
      <c r="P127" s="55"/>
      <c r="Q127" s="42"/>
      <c r="R127" s="56"/>
      <c r="S127" s="46"/>
      <c r="T127" s="46"/>
    </row>
    <row r="128" spans="13:20" ht="15.6" x14ac:dyDescent="0.3">
      <c r="M128" s="52"/>
      <c r="N128" s="53"/>
      <c r="O128" s="55"/>
      <c r="P128" s="55"/>
      <c r="Q128" s="42"/>
      <c r="R128" s="56"/>
      <c r="S128" s="46"/>
      <c r="T128" s="46"/>
    </row>
    <row r="129" spans="13:20" ht="15.6" x14ac:dyDescent="0.3">
      <c r="M129" s="52"/>
      <c r="N129" s="53"/>
      <c r="O129" s="55"/>
      <c r="P129" s="55"/>
      <c r="Q129" s="42"/>
      <c r="R129" s="56"/>
      <c r="S129" s="46"/>
      <c r="T129" s="46"/>
    </row>
    <row r="130" spans="13:20" ht="15.6" x14ac:dyDescent="0.3">
      <c r="M130" s="52"/>
      <c r="N130" s="53"/>
      <c r="O130" s="55"/>
      <c r="P130" s="55"/>
      <c r="Q130" s="42"/>
      <c r="R130" s="56"/>
      <c r="S130" s="46"/>
      <c r="T130" s="46"/>
    </row>
    <row r="131" spans="13:20" ht="15.6" x14ac:dyDescent="0.3">
      <c r="M131" s="52"/>
      <c r="N131" s="53"/>
      <c r="O131" s="55"/>
      <c r="P131" s="55"/>
      <c r="Q131" s="42"/>
      <c r="R131" s="56"/>
      <c r="S131" s="46"/>
      <c r="T131" s="46"/>
    </row>
    <row r="132" spans="13:20" ht="15.6" x14ac:dyDescent="0.3">
      <c r="M132" s="52"/>
      <c r="N132" s="53"/>
      <c r="O132" s="55"/>
      <c r="P132" s="55"/>
      <c r="Q132" s="42"/>
      <c r="R132" s="56"/>
      <c r="S132" s="46"/>
      <c r="T132" s="46"/>
    </row>
    <row r="133" spans="13:20" ht="15.6" x14ac:dyDescent="0.3">
      <c r="M133" s="52"/>
      <c r="N133" s="53"/>
      <c r="O133" s="55"/>
      <c r="P133" s="55"/>
      <c r="Q133" s="42"/>
      <c r="R133" s="56"/>
      <c r="S133" s="46"/>
      <c r="T133" s="46"/>
    </row>
    <row r="134" spans="13:20" ht="15.6" x14ac:dyDescent="0.3">
      <c r="M134" s="52"/>
      <c r="N134" s="53"/>
      <c r="O134" s="55"/>
      <c r="P134" s="54"/>
      <c r="Q134" s="42"/>
      <c r="R134" s="56"/>
      <c r="S134" s="46"/>
      <c r="T134" s="46"/>
    </row>
    <row r="135" spans="13:20" x14ac:dyDescent="0.3">
      <c r="O135" s="57"/>
      <c r="P135" s="109"/>
      <c r="Q135" s="42"/>
      <c r="R135" s="46"/>
      <c r="S135" s="46"/>
      <c r="T135" s="46"/>
    </row>
  </sheetData>
  <sheetProtection algorithmName="SHA-512" hashValue="4X0N2JGAPtGUp5g/lawVPcL68YD5evvhok2Q8nz0vfjckk1mdbKqWGzf1Dy+QHHVdya99sIsGkfWF9b0Jw2pyA==" saltValue="HTxfDao+JluFeE6uNMzw1Q==" spinCount="100000" sheet="1" formatCells="0"/>
  <dataConsolidate/>
  <mergeCells count="13">
    <mergeCell ref="B43:C44"/>
    <mergeCell ref="D43:G43"/>
    <mergeCell ref="D44:G44"/>
    <mergeCell ref="B2:H2"/>
    <mergeCell ref="J2:J3"/>
    <mergeCell ref="B4:C4"/>
    <mergeCell ref="F4:G4"/>
    <mergeCell ref="J4:J10"/>
    <mergeCell ref="B5:C5"/>
    <mergeCell ref="F5:G5"/>
    <mergeCell ref="B6:C6"/>
    <mergeCell ref="F6:G6"/>
    <mergeCell ref="B7:C7"/>
  </mergeCells>
  <conditionalFormatting sqref="E10:E40">
    <cfRule type="expression" dxfId="1" priority="1">
      <formula>E10&gt;$D$5</formula>
    </cfRule>
  </conditionalFormatting>
  <dataValidations count="3">
    <dataValidation type="list" allowBlank="1" showInputMessage="1" showErrorMessage="1" sqref="B10:B40" xr:uid="{5F71D6F2-45A1-405F-AB78-B848389ED6AD}">
      <formula1>$M$10:$M$18</formula1>
    </dataValidation>
    <dataValidation type="list" allowBlank="1" showInputMessage="1" showErrorMessage="1" sqref="E10:E40" xr:uid="{B483CF73-6B4B-4590-A973-EBECA9C87DCC}">
      <formula1>$Z$10:$Z$21</formula1>
    </dataValidation>
    <dataValidation type="list" allowBlank="1" showInputMessage="1" showErrorMessage="1" sqref="D10:D40" xr:uid="{EA204299-9687-4AF6-A7BF-35EBB1BFBA32}">
      <formula1>$AA$10:$AA$22</formula1>
    </dataValidation>
  </dataValidations>
  <pageMargins left="0.7" right="0.7" top="0.75" bottom="0.75" header="0.3" footer="0.3"/>
  <pageSetup orientation="portrait" horizontalDpi="300" verticalDpi="300"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12B3D5-9C5C-459F-8B3E-6F918E1EB72E}">
  <dimension ref="A1:AA135"/>
  <sheetViews>
    <sheetView showGridLines="0" showRowColHeaders="0" zoomScaleNormal="100" workbookViewId="0">
      <selection activeCell="F12" sqref="F12"/>
    </sheetView>
  </sheetViews>
  <sheetFormatPr defaultColWidth="11.5546875" defaultRowHeight="14.4" x14ac:dyDescent="0.3"/>
  <cols>
    <col min="1" max="1" width="1.6640625" customWidth="1"/>
    <col min="2" max="2" width="36.33203125" customWidth="1"/>
    <col min="3" max="5" width="12.88671875" customWidth="1"/>
    <col min="6" max="8" width="19.21875" customWidth="1"/>
    <col min="9" max="9" width="2" customWidth="1"/>
    <col min="10" max="10" width="29.88671875" bestFit="1" customWidth="1"/>
    <col min="11" max="11" width="1.88671875" customWidth="1"/>
    <col min="12" max="12" width="5.109375" style="11" customWidth="1"/>
    <col min="13" max="13" width="37.109375" style="48" hidden="1" customWidth="1"/>
    <col min="14" max="14" width="10.6640625" style="21" hidden="1" customWidth="1"/>
    <col min="15" max="15" width="13.6640625" style="21" hidden="1" customWidth="1"/>
    <col min="16" max="16" width="11.44140625" style="21" hidden="1" customWidth="1"/>
    <col min="17" max="17" width="5.33203125" style="21" hidden="1" customWidth="1"/>
    <col min="18" max="18" width="11.44140625" style="4" hidden="1" customWidth="1"/>
    <col min="19" max="20" width="11.5546875" style="4" hidden="1" customWidth="1"/>
    <col min="21" max="21" width="11.5546875" style="18" hidden="1" customWidth="1"/>
    <col min="22" max="22" width="14.6640625" style="18" hidden="1" customWidth="1"/>
    <col min="23" max="23" width="11.5546875" style="18" hidden="1" customWidth="1"/>
    <col min="24" max="27" width="11.5546875" hidden="1" customWidth="1"/>
  </cols>
  <sheetData>
    <row r="1" spans="1:27" ht="9" customHeight="1" thickBot="1" x14ac:dyDescent="0.35">
      <c r="A1" s="24"/>
      <c r="B1" s="25"/>
      <c r="C1" s="25"/>
      <c r="D1" s="25"/>
      <c r="E1" s="25"/>
      <c r="F1" s="25"/>
      <c r="G1" s="25"/>
      <c r="H1" s="25"/>
      <c r="I1" s="25"/>
      <c r="J1" s="25"/>
      <c r="K1" s="26"/>
    </row>
    <row r="2" spans="1:27" ht="46.8" customHeight="1" thickBot="1" x14ac:dyDescent="0.35">
      <c r="A2" s="27"/>
      <c r="B2" s="121" t="s">
        <v>152</v>
      </c>
      <c r="C2" s="122"/>
      <c r="D2" s="122"/>
      <c r="E2" s="122"/>
      <c r="F2" s="122"/>
      <c r="G2" s="122"/>
      <c r="H2" s="123"/>
      <c r="I2" s="28"/>
      <c r="J2" s="116" t="s">
        <v>58</v>
      </c>
      <c r="K2" s="29"/>
    </row>
    <row r="3" spans="1:27" ht="10.5" customHeight="1" thickBot="1" x14ac:dyDescent="0.35">
      <c r="A3" s="27"/>
      <c r="B3" s="17"/>
      <c r="C3" s="17"/>
      <c r="D3" s="17"/>
      <c r="E3" s="17"/>
      <c r="F3" s="17"/>
      <c r="G3" s="17"/>
      <c r="H3" s="17"/>
      <c r="I3" s="17"/>
      <c r="J3" s="117"/>
      <c r="K3" s="29"/>
    </row>
    <row r="4" spans="1:27" ht="16.2" customHeight="1" thickBot="1" x14ac:dyDescent="0.35">
      <c r="A4" s="27"/>
      <c r="B4" s="136" t="s">
        <v>55</v>
      </c>
      <c r="C4" s="137"/>
      <c r="D4" s="22"/>
      <c r="E4" s="31"/>
      <c r="F4" s="140" t="s">
        <v>57</v>
      </c>
      <c r="G4" s="141"/>
      <c r="H4" s="19"/>
      <c r="I4" s="31"/>
      <c r="J4" s="118" t="s">
        <v>59</v>
      </c>
      <c r="K4" s="29"/>
    </row>
    <row r="5" spans="1:27" ht="48.6" customHeight="1" thickBot="1" x14ac:dyDescent="0.35">
      <c r="A5" s="27"/>
      <c r="B5" s="134" t="s">
        <v>56</v>
      </c>
      <c r="C5" s="135"/>
      <c r="D5" s="20"/>
      <c r="E5" s="113" t="s">
        <v>27</v>
      </c>
      <c r="F5" s="142" t="str">
        <f>"Volume produit, exprimé en boîtes de 18,14 kg, au cours de la période de "&amp;D5&amp;" mois :"</f>
        <v>Volume produit, exprimé en boîtes de 18,14 kg, au cours de la période de  mois :</v>
      </c>
      <c r="G5" s="143"/>
      <c r="H5" s="19"/>
      <c r="I5" s="31"/>
      <c r="J5" s="119"/>
      <c r="K5" s="29"/>
    </row>
    <row r="6" spans="1:27" ht="31.8" customHeight="1" thickBot="1" x14ac:dyDescent="0.35">
      <c r="A6" s="27"/>
      <c r="B6" s="138" t="str">
        <f>"Montant total de la Prime Fairtrade reçue au cours de la période de "&amp;D5&amp;" mois (en "&amp;T9&amp;"/période de "&amp;D5&amp;" mois) :"</f>
        <v>Montant total de la Prime Fairtrade reçue au cours de la période de  mois (en CA CFA francs/période de  mois) :</v>
      </c>
      <c r="C6" s="139"/>
      <c r="D6" s="20"/>
      <c r="E6" s="113" t="s">
        <v>27</v>
      </c>
      <c r="F6" s="138" t="str">
        <f>"Basic Living Wage Benchmark 2025 (en "&amp;T9&amp;"/mois) :"</f>
        <v>Basic Living Wage Benchmark 2025 (en CA CFA francs/mois) :</v>
      </c>
      <c r="G6" s="139"/>
      <c r="H6" s="99">
        <f>P18</f>
        <v>161227</v>
      </c>
      <c r="I6" s="30"/>
      <c r="J6" s="119"/>
      <c r="K6" s="29"/>
      <c r="M6" s="49"/>
      <c r="O6" s="50"/>
    </row>
    <row r="7" spans="1:27" ht="16.2" customHeight="1" thickBot="1" x14ac:dyDescent="0.35">
      <c r="A7" s="27"/>
      <c r="B7" s="144" t="str">
        <f>"Taux de change (en "&amp;T9&amp;"/Euro) :"</f>
        <v>Taux de change (en CA CFA francs/Euro) :</v>
      </c>
      <c r="C7" s="145"/>
      <c r="D7" s="19"/>
      <c r="E7" s="31"/>
      <c r="F7" s="112" t="s">
        <v>160</v>
      </c>
      <c r="G7" s="17"/>
      <c r="H7" s="17"/>
      <c r="I7" s="30"/>
      <c r="J7" s="119"/>
      <c r="K7" s="29"/>
      <c r="M7" s="49"/>
    </row>
    <row r="8" spans="1:27" ht="10.199999999999999" customHeight="1" thickBot="1" x14ac:dyDescent="0.35">
      <c r="A8" s="27"/>
      <c r="B8" s="32"/>
      <c r="C8" s="17"/>
      <c r="D8" s="17"/>
      <c r="E8" s="17"/>
      <c r="F8" s="17"/>
      <c r="G8" s="17"/>
      <c r="H8" s="17"/>
      <c r="I8" s="17"/>
      <c r="J8" s="119"/>
      <c r="K8" s="29"/>
      <c r="M8" s="51"/>
    </row>
    <row r="9" spans="1:27" ht="58.2" thickBot="1" x14ac:dyDescent="0.35">
      <c r="A9" s="27"/>
      <c r="B9" s="94" t="s">
        <v>60</v>
      </c>
      <c r="C9" s="94" t="s">
        <v>61</v>
      </c>
      <c r="D9" s="94" t="s">
        <v>62</v>
      </c>
      <c r="E9" s="95" t="str">
        <f>"nr mois travaillés dans la période de "&amp;D5&amp;" mois"</f>
        <v>nr mois travaillés dans la période de  mois</v>
      </c>
      <c r="F9" s="96" t="s">
        <v>63</v>
      </c>
      <c r="G9" s="97" t="str">
        <f>"Écart du salaire de subsistance/ fourchette/ période de "&amp;D5&amp;" mois"</f>
        <v>Écart du salaire de subsistance/ fourchette/ période de  mois</v>
      </c>
      <c r="H9" s="98" t="str">
        <f>"Prime Fairtrade à verser, en "&amp;T9&amp;"/mois/ travailleur"</f>
        <v>Prime Fairtrade à verser, en CA CFA francs/mois/ travailleur</v>
      </c>
      <c r="I9" s="33"/>
      <c r="J9" s="119"/>
      <c r="K9" s="34"/>
      <c r="M9" s="47" t="s">
        <v>9</v>
      </c>
      <c r="N9" s="21" t="s">
        <v>3</v>
      </c>
      <c r="O9" s="42" t="s">
        <v>31</v>
      </c>
      <c r="P9" s="42" t="s">
        <v>32</v>
      </c>
      <c r="Q9" s="42"/>
      <c r="S9" s="43" t="s">
        <v>24</v>
      </c>
      <c r="T9" s="46" t="s">
        <v>30</v>
      </c>
      <c r="V9" s="21" t="s">
        <v>17</v>
      </c>
      <c r="W9" s="21"/>
      <c r="X9" s="21" t="s">
        <v>2</v>
      </c>
      <c r="Y9" s="4"/>
      <c r="Z9" s="21" t="s">
        <v>33</v>
      </c>
      <c r="AA9" s="21" t="s">
        <v>34</v>
      </c>
    </row>
    <row r="10" spans="1:27" ht="16.5" customHeight="1" thickBot="1" x14ac:dyDescent="0.35">
      <c r="A10" s="27"/>
      <c r="B10" s="13" t="s">
        <v>71</v>
      </c>
      <c r="C10" s="1"/>
      <c r="D10" s="6"/>
      <c r="E10" s="5"/>
      <c r="F10" s="105">
        <f t="shared" ref="F10:F40" si="0">C10*D10/daysperweek</f>
        <v>0</v>
      </c>
      <c r="G10" s="106">
        <f t="shared" ref="G10:G40" si="1">IF(LWgap&gt;maxFP30,maxFP30*W10,V10)</f>
        <v>0</v>
      </c>
      <c r="H10" s="107">
        <f>IFERROR(G10/C10,0)</f>
        <v>0</v>
      </c>
      <c r="I10" s="35"/>
      <c r="J10" s="120"/>
      <c r="K10" s="29"/>
      <c r="L10" s="8"/>
      <c r="M10" s="52" t="str">
        <f>"Entre  "&amp;O10&amp;"  y  "&amp;P10&amp;"  "&amp;S9</f>
        <v>Entre  113023  y  117999  WA CFA francs/mois</v>
      </c>
      <c r="N10" s="53">
        <f t="shared" ref="N10:N18" si="2">AVERAGE(O10:P10)</f>
        <v>115511</v>
      </c>
      <c r="O10" s="54">
        <v>113023</v>
      </c>
      <c r="P10" s="55">
        <f>ROUND(O10+O19,P19)-1</f>
        <v>117999</v>
      </c>
      <c r="Q10" s="42"/>
      <c r="R10" s="59">
        <f>P10-O10</f>
        <v>4976</v>
      </c>
      <c r="S10" s="46"/>
      <c r="T10"/>
      <c r="V10" s="15">
        <f>IFERROR((basicLWB-VLOOKUP(B10,$M$10:$N$18,2,FALSE))*E10*F10,0)</f>
        <v>0</v>
      </c>
      <c r="W10" s="12" t="e">
        <f>V10/LWgap</f>
        <v>#DIV/0!</v>
      </c>
      <c r="X10" s="11">
        <v>1</v>
      </c>
      <c r="Y10" s="4" t="b">
        <f t="shared" ref="Y10:Y21" si="3">IF(X10&lt;=$D$5,X10,0)&lt;&gt;0</f>
        <v>0</v>
      </c>
      <c r="Z10" s="4" cm="1">
        <f t="array" ref="Z10">IFERROR(_xlfn.XLOOKUP(TRUE,Y10:$Y$21,X10:$X$21),0)</f>
        <v>0</v>
      </c>
      <c r="AA10" s="10">
        <v>6</v>
      </c>
    </row>
    <row r="11" spans="1:27" ht="16.5" customHeight="1" x14ac:dyDescent="0.3">
      <c r="A11" s="27"/>
      <c r="B11" s="13" t="s">
        <v>72</v>
      </c>
      <c r="C11" s="2"/>
      <c r="D11" s="7"/>
      <c r="E11" s="5"/>
      <c r="F11" s="105">
        <f t="shared" si="0"/>
        <v>0</v>
      </c>
      <c r="G11" s="106">
        <f t="shared" si="1"/>
        <v>0</v>
      </c>
      <c r="H11" s="107">
        <f t="shared" ref="H11:H40" si="4">IFERROR(G11/C11,0)</f>
        <v>0</v>
      </c>
      <c r="I11" s="35"/>
      <c r="J11" s="36"/>
      <c r="K11" s="29"/>
      <c r="L11" s="8"/>
      <c r="M11" s="52" t="str">
        <f>"Entre  "&amp;O11&amp;"  y  "&amp;P11&amp;"  "&amp;S9</f>
        <v>Entre  118000  y  122999  WA CFA francs/mois</v>
      </c>
      <c r="N11" s="53">
        <f t="shared" si="2"/>
        <v>120499.5</v>
      </c>
      <c r="O11" s="55">
        <f t="shared" ref="O11:O18" si="5">P10+1</f>
        <v>118000</v>
      </c>
      <c r="P11" s="55">
        <f>ROUND(P10+O19,P19)-1</f>
        <v>122999</v>
      </c>
      <c r="Q11" s="42"/>
      <c r="R11" s="59">
        <f t="shared" ref="R11:R18" si="6">P11-P10</f>
        <v>5000</v>
      </c>
      <c r="S11" s="46"/>
      <c r="T11"/>
      <c r="V11" s="15">
        <f>IFERROR((basicLWB-VLOOKUP(B11,$M$10:$N$18,2,FALSE))*E11*F11,0)</f>
        <v>0</v>
      </c>
      <c r="W11" s="12" t="e">
        <f t="shared" ref="W11:W33" si="7">+V11/LWgap</f>
        <v>#DIV/0!</v>
      </c>
      <c r="X11" s="11">
        <v>2</v>
      </c>
      <c r="Y11" s="4" t="b">
        <f t="shared" si="3"/>
        <v>0</v>
      </c>
      <c r="Z11" s="4" cm="1">
        <f t="array" ref="Z11">IFERROR(_xlfn.XLOOKUP(TRUE,Y11:$Y$21,X11:$X$21),0)</f>
        <v>0</v>
      </c>
      <c r="AA11" s="10">
        <v>5.5</v>
      </c>
    </row>
    <row r="12" spans="1:27" ht="16.5" customHeight="1" x14ac:dyDescent="0.3">
      <c r="A12" s="27"/>
      <c r="B12" s="13" t="s">
        <v>73</v>
      </c>
      <c r="C12" s="2"/>
      <c r="D12" s="7"/>
      <c r="E12" s="5"/>
      <c r="F12" s="105">
        <f t="shared" si="0"/>
        <v>0</v>
      </c>
      <c r="G12" s="106">
        <f t="shared" si="1"/>
        <v>0</v>
      </c>
      <c r="H12" s="107">
        <f t="shared" si="4"/>
        <v>0</v>
      </c>
      <c r="I12" s="35"/>
      <c r="J12" s="36"/>
      <c r="K12" s="29"/>
      <c r="L12" s="8"/>
      <c r="M12" s="52" t="str">
        <f>"Entre  "&amp;O12&amp;"  y  "&amp;P12&amp;"  "&amp;S9</f>
        <v>Entre  123000  y  127999  WA CFA francs/mois</v>
      </c>
      <c r="N12" s="53">
        <f t="shared" si="2"/>
        <v>125499.5</v>
      </c>
      <c r="O12" s="55">
        <f t="shared" si="5"/>
        <v>123000</v>
      </c>
      <c r="P12" s="55">
        <f>ROUND(P11+O19,P19)-1</f>
        <v>127999</v>
      </c>
      <c r="Q12" s="42"/>
      <c r="R12" s="59">
        <f t="shared" si="6"/>
        <v>5000</v>
      </c>
      <c r="S12" s="46"/>
      <c r="T12"/>
      <c r="V12" s="15">
        <f>IFERROR((basicLWB-VLOOKUP(B12,$M$10:$N$18,2,FALSE))*E12*F12,0)</f>
        <v>0</v>
      </c>
      <c r="W12" s="12" t="e">
        <f t="shared" si="7"/>
        <v>#DIV/0!</v>
      </c>
      <c r="X12" s="11">
        <v>3</v>
      </c>
      <c r="Y12" s="4" t="b">
        <f t="shared" si="3"/>
        <v>0</v>
      </c>
      <c r="Z12" s="4" cm="1">
        <f t="array" ref="Z12">IFERROR(_xlfn.XLOOKUP(TRUE,Y12:$Y$21,X12:$X$21),0)</f>
        <v>0</v>
      </c>
      <c r="AA12" s="10">
        <v>5</v>
      </c>
    </row>
    <row r="13" spans="1:27" ht="16.5" customHeight="1" x14ac:dyDescent="0.3">
      <c r="A13" s="27"/>
      <c r="B13" s="13" t="s">
        <v>74</v>
      </c>
      <c r="C13" s="2"/>
      <c r="D13" s="7"/>
      <c r="E13" s="5"/>
      <c r="F13" s="105">
        <f t="shared" si="0"/>
        <v>0</v>
      </c>
      <c r="G13" s="106">
        <f t="shared" si="1"/>
        <v>0</v>
      </c>
      <c r="H13" s="107">
        <f t="shared" si="4"/>
        <v>0</v>
      </c>
      <c r="I13" s="35"/>
      <c r="J13" s="36"/>
      <c r="K13" s="29"/>
      <c r="L13" s="8"/>
      <c r="M13" s="52" t="str">
        <f>"Entre  "&amp;O13&amp;"  y  "&amp;P13&amp;"  "&amp;S9</f>
        <v>Entre  128000  y  132999  WA CFA francs/mois</v>
      </c>
      <c r="N13" s="53">
        <f t="shared" si="2"/>
        <v>130499.5</v>
      </c>
      <c r="O13" s="55">
        <f t="shared" si="5"/>
        <v>128000</v>
      </c>
      <c r="P13" s="55">
        <f>ROUND(P12+O19,P19)-1</f>
        <v>132999</v>
      </c>
      <c r="Q13" s="42"/>
      <c r="R13" s="59">
        <f t="shared" si="6"/>
        <v>5000</v>
      </c>
      <c r="S13" s="46"/>
      <c r="T13"/>
      <c r="V13" s="15">
        <f>IFERROR((basicLWB-VLOOKUP(B13,$M$10:$N$18,2,FALSE))*E13*F13,0)</f>
        <v>0</v>
      </c>
      <c r="W13" s="12" t="e">
        <f t="shared" si="7"/>
        <v>#DIV/0!</v>
      </c>
      <c r="X13" s="11">
        <v>4</v>
      </c>
      <c r="Y13" s="4" t="b">
        <f t="shared" si="3"/>
        <v>0</v>
      </c>
      <c r="Z13" s="4" cm="1">
        <f t="array" ref="Z13">IFERROR(_xlfn.XLOOKUP(TRUE,Y13:$Y$21,X13:$X$21),0)</f>
        <v>0</v>
      </c>
      <c r="AA13" s="10">
        <v>4.5</v>
      </c>
    </row>
    <row r="14" spans="1:27" ht="16.5" customHeight="1" x14ac:dyDescent="0.3">
      <c r="A14" s="27"/>
      <c r="B14" s="13" t="s">
        <v>75</v>
      </c>
      <c r="C14" s="2"/>
      <c r="D14" s="7"/>
      <c r="E14" s="5"/>
      <c r="F14" s="105">
        <f t="shared" si="0"/>
        <v>0</v>
      </c>
      <c r="G14" s="106">
        <f t="shared" si="1"/>
        <v>0</v>
      </c>
      <c r="H14" s="107">
        <f t="shared" si="4"/>
        <v>0</v>
      </c>
      <c r="I14" s="35"/>
      <c r="J14" s="36"/>
      <c r="K14" s="29"/>
      <c r="L14" s="8"/>
      <c r="M14" s="52" t="str">
        <f>"Entre  "&amp;O14&amp;"  y  "&amp;P14&amp;"  "&amp;S9</f>
        <v>Entre  133000  y  137999  WA CFA francs/mois</v>
      </c>
      <c r="N14" s="53">
        <f t="shared" si="2"/>
        <v>135499.5</v>
      </c>
      <c r="O14" s="55">
        <f t="shared" si="5"/>
        <v>133000</v>
      </c>
      <c r="P14" s="55">
        <f>ROUND(P13+O19,P19)-1</f>
        <v>137999</v>
      </c>
      <c r="Q14" s="42"/>
      <c r="R14" s="59">
        <f t="shared" si="6"/>
        <v>5000</v>
      </c>
      <c r="S14" s="46"/>
      <c r="T14"/>
      <c r="V14" s="15">
        <f>IFERROR((basicLWB-VLOOKUP(B14,$M$10:$N$18,2,FALSE))*E14*F14,0)</f>
        <v>0</v>
      </c>
      <c r="W14" s="12" t="e">
        <f t="shared" si="7"/>
        <v>#DIV/0!</v>
      </c>
      <c r="X14" s="11">
        <v>5</v>
      </c>
      <c r="Y14" s="4" t="b">
        <f t="shared" si="3"/>
        <v>0</v>
      </c>
      <c r="Z14" s="4" cm="1">
        <f t="array" ref="Z14">IFERROR(_xlfn.XLOOKUP(TRUE,Y14:$Y$21,X14:$X$21),0)</f>
        <v>0</v>
      </c>
      <c r="AA14" s="10">
        <v>4</v>
      </c>
    </row>
    <row r="15" spans="1:27" ht="16.5" customHeight="1" x14ac:dyDescent="0.3">
      <c r="A15" s="27"/>
      <c r="B15" s="13" t="s">
        <v>76</v>
      </c>
      <c r="C15" s="2"/>
      <c r="D15" s="7"/>
      <c r="E15" s="5"/>
      <c r="F15" s="105">
        <f t="shared" si="0"/>
        <v>0</v>
      </c>
      <c r="G15" s="106">
        <f t="shared" si="1"/>
        <v>0</v>
      </c>
      <c r="H15" s="107">
        <f t="shared" si="4"/>
        <v>0</v>
      </c>
      <c r="I15" s="35"/>
      <c r="J15" s="36"/>
      <c r="K15" s="29"/>
      <c r="L15" s="8"/>
      <c r="M15" s="52" t="str">
        <f>"Entre  "&amp;O15&amp;"  y  "&amp;P15&amp;"  "&amp;S9</f>
        <v>Entre  138000  y  142999  WA CFA francs/mois</v>
      </c>
      <c r="N15" s="53">
        <f t="shared" si="2"/>
        <v>140499.5</v>
      </c>
      <c r="O15" s="55">
        <f t="shared" si="5"/>
        <v>138000</v>
      </c>
      <c r="P15" s="55">
        <f>ROUND(P14+O19,P19)-1</f>
        <v>142999</v>
      </c>
      <c r="Q15" s="42"/>
      <c r="R15" s="59">
        <f t="shared" si="6"/>
        <v>5000</v>
      </c>
      <c r="S15" s="46"/>
      <c r="T15"/>
      <c r="V15" s="15">
        <f>IFERROR((basicLWB-VLOOKUP(B15,$M$10:$N$18,2,FALSE))*E15*F15,0)</f>
        <v>0</v>
      </c>
      <c r="W15" s="12" t="e">
        <f t="shared" si="7"/>
        <v>#DIV/0!</v>
      </c>
      <c r="X15" s="11">
        <v>6</v>
      </c>
      <c r="Y15" s="4" t="b">
        <f t="shared" si="3"/>
        <v>0</v>
      </c>
      <c r="Z15" s="4" cm="1">
        <f t="array" ref="Z15">IFERROR(_xlfn.XLOOKUP(TRUE,Y15:$Y$21,X15:$X$21),0)</f>
        <v>0</v>
      </c>
      <c r="AA15" s="10">
        <v>3.5</v>
      </c>
    </row>
    <row r="16" spans="1:27" ht="16.5" customHeight="1" x14ac:dyDescent="0.3">
      <c r="A16" s="27"/>
      <c r="B16" s="13" t="s">
        <v>77</v>
      </c>
      <c r="C16" s="2"/>
      <c r="D16" s="7"/>
      <c r="E16" s="5"/>
      <c r="F16" s="105">
        <f t="shared" si="0"/>
        <v>0</v>
      </c>
      <c r="G16" s="106">
        <f t="shared" si="1"/>
        <v>0</v>
      </c>
      <c r="H16" s="107">
        <f t="shared" si="4"/>
        <v>0</v>
      </c>
      <c r="I16" s="35"/>
      <c r="J16" s="36"/>
      <c r="K16" s="29"/>
      <c r="L16" s="8"/>
      <c r="M16" s="52" t="str">
        <f>"Entre  "&amp;O16&amp;"  y  "&amp;P16&amp;"  "&amp;S9</f>
        <v>Entre  143000  y  147999  WA CFA francs/mois</v>
      </c>
      <c r="N16" s="53">
        <f t="shared" si="2"/>
        <v>145499.5</v>
      </c>
      <c r="O16" s="55">
        <f t="shared" si="5"/>
        <v>143000</v>
      </c>
      <c r="P16" s="55">
        <f>ROUND(P15+O19,P19)-1</f>
        <v>147999</v>
      </c>
      <c r="Q16" s="42"/>
      <c r="R16" s="59">
        <f t="shared" si="6"/>
        <v>5000</v>
      </c>
      <c r="S16" s="46"/>
      <c r="T16"/>
      <c r="V16" s="15">
        <f>IFERROR((basicLWB-VLOOKUP(B16,$M$10:$N$18,2,FALSE))*E16*F16,0)</f>
        <v>0</v>
      </c>
      <c r="W16" s="12" t="e">
        <f t="shared" si="7"/>
        <v>#DIV/0!</v>
      </c>
      <c r="X16" s="11">
        <v>7</v>
      </c>
      <c r="Y16" s="4" t="b">
        <f t="shared" si="3"/>
        <v>0</v>
      </c>
      <c r="Z16" s="4" cm="1">
        <f t="array" ref="Z16">IFERROR(_xlfn.XLOOKUP(TRUE,Y16:$Y$21,X16:$X$21),0)</f>
        <v>0</v>
      </c>
      <c r="AA16" s="10">
        <v>3</v>
      </c>
    </row>
    <row r="17" spans="1:27" ht="16.5" customHeight="1" x14ac:dyDescent="0.3">
      <c r="A17" s="27"/>
      <c r="B17" s="13" t="s">
        <v>78</v>
      </c>
      <c r="C17" s="2"/>
      <c r="D17" s="7"/>
      <c r="E17" s="5"/>
      <c r="F17" s="105">
        <f t="shared" si="0"/>
        <v>0</v>
      </c>
      <c r="G17" s="106">
        <f t="shared" si="1"/>
        <v>0</v>
      </c>
      <c r="H17" s="107">
        <f t="shared" si="4"/>
        <v>0</v>
      </c>
      <c r="I17" s="35"/>
      <c r="J17" s="36"/>
      <c r="K17" s="29"/>
      <c r="L17" s="8"/>
      <c r="M17" s="52" t="str">
        <f>"Entre  "&amp;O17&amp;"  y  "&amp;P17&amp;"  "&amp;S9</f>
        <v>Entre  148000  y  152999  WA CFA francs/mois</v>
      </c>
      <c r="N17" s="53">
        <f t="shared" si="2"/>
        <v>150499.5</v>
      </c>
      <c r="O17" s="55">
        <f t="shared" si="5"/>
        <v>148000</v>
      </c>
      <c r="P17" s="55">
        <f>ROUND(P16+O19,P19)-1</f>
        <v>152999</v>
      </c>
      <c r="Q17" s="42"/>
      <c r="R17" s="59">
        <f t="shared" si="6"/>
        <v>5000</v>
      </c>
      <c r="S17" s="46"/>
      <c r="T17"/>
      <c r="V17" s="15">
        <f>IFERROR((basicLWB-VLOOKUP(B17,$M$10:$N$18,2,FALSE))*E17*F17,0)</f>
        <v>0</v>
      </c>
      <c r="W17" s="12" t="e">
        <f t="shared" si="7"/>
        <v>#DIV/0!</v>
      </c>
      <c r="X17" s="11">
        <v>8</v>
      </c>
      <c r="Y17" s="4" t="b">
        <f t="shared" si="3"/>
        <v>0</v>
      </c>
      <c r="Z17" s="4" cm="1">
        <f t="array" ref="Z17">IFERROR(_xlfn.XLOOKUP(TRUE,Y17:$Y$21,X17:$X$21),0)</f>
        <v>0</v>
      </c>
      <c r="AA17" s="10">
        <v>3.5</v>
      </c>
    </row>
    <row r="18" spans="1:27" ht="16.5" customHeight="1" x14ac:dyDescent="0.3">
      <c r="A18" s="27"/>
      <c r="B18" s="13" t="s">
        <v>79</v>
      </c>
      <c r="C18" s="2"/>
      <c r="D18" s="7"/>
      <c r="E18" s="5"/>
      <c r="F18" s="105">
        <f t="shared" si="0"/>
        <v>0</v>
      </c>
      <c r="G18" s="106">
        <f t="shared" si="1"/>
        <v>0</v>
      </c>
      <c r="H18" s="107">
        <f t="shared" si="4"/>
        <v>0</v>
      </c>
      <c r="I18" s="35"/>
      <c r="J18" s="36"/>
      <c r="K18" s="29"/>
      <c r="L18" s="8"/>
      <c r="M18" s="52" t="str">
        <f>"Entre  "&amp;O18&amp;"  y  "&amp;P18&amp;"  "&amp;S9</f>
        <v>Entre  153000  y  161227  WA CFA francs/mois</v>
      </c>
      <c r="N18" s="53">
        <f t="shared" si="2"/>
        <v>157113.5</v>
      </c>
      <c r="O18" s="55">
        <f t="shared" si="5"/>
        <v>153000</v>
      </c>
      <c r="P18" s="54">
        <v>161227</v>
      </c>
      <c r="Q18" s="42"/>
      <c r="R18" s="59">
        <f t="shared" si="6"/>
        <v>8228</v>
      </c>
      <c r="S18" s="46"/>
      <c r="T18"/>
      <c r="V18" s="15">
        <f>IFERROR((basicLWB-VLOOKUP(B18,$M$10:$N$18,2,FALSE))*E18*F18,0)</f>
        <v>0</v>
      </c>
      <c r="W18" s="12" t="e">
        <f t="shared" si="7"/>
        <v>#DIV/0!</v>
      </c>
      <c r="X18" s="11">
        <v>9</v>
      </c>
      <c r="Y18" s="4" t="b">
        <f t="shared" si="3"/>
        <v>0</v>
      </c>
      <c r="Z18" s="4" cm="1">
        <f t="array" ref="Z18">IFERROR(_xlfn.XLOOKUP(TRUE,Y18:$Y$21,X18:$X$21),0)</f>
        <v>0</v>
      </c>
      <c r="AA18" s="10">
        <v>3</v>
      </c>
    </row>
    <row r="19" spans="1:27" ht="16.5" customHeight="1" x14ac:dyDescent="0.3">
      <c r="A19" s="27"/>
      <c r="B19" s="13"/>
      <c r="C19" s="2"/>
      <c r="D19" s="7"/>
      <c r="E19" s="5"/>
      <c r="F19" s="105">
        <f t="shared" si="0"/>
        <v>0</v>
      </c>
      <c r="G19" s="106">
        <f t="shared" si="1"/>
        <v>0</v>
      </c>
      <c r="H19" s="107">
        <f t="shared" si="4"/>
        <v>0</v>
      </c>
      <c r="I19" s="35"/>
      <c r="J19" s="36"/>
      <c r="K19" s="29"/>
      <c r="L19" s="8"/>
      <c r="M19" s="52"/>
      <c r="N19" s="21">
        <v>6</v>
      </c>
      <c r="O19" s="57">
        <f>ROUND((P18-O10)/9,P19)</f>
        <v>5000</v>
      </c>
      <c r="P19" s="58">
        <v>-3</v>
      </c>
      <c r="Q19" s="42"/>
      <c r="S19" s="46"/>
      <c r="T19"/>
      <c r="V19" s="15">
        <f>IFERROR((basicLWB-VLOOKUP(B19,$M$10:$N$18,2,FALSE))*E19*F19,0)</f>
        <v>0</v>
      </c>
      <c r="W19" s="12" t="e">
        <f t="shared" si="7"/>
        <v>#DIV/0!</v>
      </c>
      <c r="X19" s="11">
        <v>10</v>
      </c>
      <c r="Y19" s="4" t="b">
        <f t="shared" si="3"/>
        <v>0</v>
      </c>
      <c r="Z19" s="4" cm="1">
        <f t="array" ref="Z19">IFERROR(_xlfn.XLOOKUP(TRUE,Y19:$Y$21,X19:$X$21),0)</f>
        <v>0</v>
      </c>
      <c r="AA19" s="10">
        <v>2.5</v>
      </c>
    </row>
    <row r="20" spans="1:27" ht="16.5" customHeight="1" x14ac:dyDescent="0.3">
      <c r="A20" s="27"/>
      <c r="B20" s="13"/>
      <c r="C20" s="2"/>
      <c r="D20" s="7"/>
      <c r="E20" s="5"/>
      <c r="F20" s="105">
        <f t="shared" si="0"/>
        <v>0</v>
      </c>
      <c r="G20" s="106">
        <f t="shared" si="1"/>
        <v>0</v>
      </c>
      <c r="H20" s="107">
        <f t="shared" si="4"/>
        <v>0</v>
      </c>
      <c r="I20" s="35"/>
      <c r="J20" s="36"/>
      <c r="K20" s="29"/>
      <c r="N20" s="50"/>
      <c r="O20" s="18"/>
      <c r="P20" s="18"/>
      <c r="Q20" s="18"/>
      <c r="S20"/>
      <c r="T20"/>
      <c r="V20" s="15">
        <f>IFERROR((basicLWB-VLOOKUP(B20,$M$10:$N$18,2,FALSE))*E20*F20,0)</f>
        <v>0</v>
      </c>
      <c r="W20" s="12" t="e">
        <f t="shared" si="7"/>
        <v>#DIV/0!</v>
      </c>
      <c r="X20" s="11">
        <v>11</v>
      </c>
      <c r="Y20" s="4" t="b">
        <f t="shared" si="3"/>
        <v>0</v>
      </c>
      <c r="Z20" s="4" cm="1">
        <f t="array" ref="Z20">IFERROR(_xlfn.XLOOKUP(TRUE,Y20:$Y$21,X20:$X$21),0)</f>
        <v>0</v>
      </c>
      <c r="AA20" s="10">
        <v>2</v>
      </c>
    </row>
    <row r="21" spans="1:27" ht="16.5" customHeight="1" x14ac:dyDescent="0.3">
      <c r="A21" s="27"/>
      <c r="B21" s="13"/>
      <c r="C21" s="3"/>
      <c r="D21" s="7"/>
      <c r="E21" s="5"/>
      <c r="F21" s="105">
        <f t="shared" si="0"/>
        <v>0</v>
      </c>
      <c r="G21" s="106">
        <f t="shared" si="1"/>
        <v>0</v>
      </c>
      <c r="H21" s="107">
        <f t="shared" si="4"/>
        <v>0</v>
      </c>
      <c r="I21" s="35"/>
      <c r="J21" s="36"/>
      <c r="K21" s="29"/>
      <c r="N21" s="50"/>
      <c r="O21" s="18"/>
      <c r="P21" s="18"/>
      <c r="Q21" s="18"/>
      <c r="S21"/>
      <c r="T21"/>
      <c r="V21" s="15">
        <f>IFERROR((basicLWB-VLOOKUP(B21,$M$10:$N$18,2,FALSE))*E21*F21,0)</f>
        <v>0</v>
      </c>
      <c r="W21" s="12" t="e">
        <f t="shared" si="7"/>
        <v>#DIV/0!</v>
      </c>
      <c r="X21" s="11">
        <v>12</v>
      </c>
      <c r="Y21" s="4" t="b">
        <f t="shared" si="3"/>
        <v>0</v>
      </c>
      <c r="Z21" s="4" cm="1">
        <f t="array" ref="Z21">IFERROR(_xlfn.XLOOKUP(TRUE,Y21:$Y$21,X21:$X$21),0)</f>
        <v>0</v>
      </c>
      <c r="AA21" s="10">
        <v>1.5</v>
      </c>
    </row>
    <row r="22" spans="1:27" ht="16.5" customHeight="1" x14ac:dyDescent="0.3">
      <c r="A22" s="27"/>
      <c r="B22" s="13"/>
      <c r="C22" s="3"/>
      <c r="D22" s="7"/>
      <c r="E22" s="5"/>
      <c r="F22" s="105">
        <f t="shared" si="0"/>
        <v>0</v>
      </c>
      <c r="G22" s="106">
        <f t="shared" si="1"/>
        <v>0</v>
      </c>
      <c r="H22" s="107">
        <f t="shared" si="4"/>
        <v>0</v>
      </c>
      <c r="I22" s="35"/>
      <c r="J22" s="36"/>
      <c r="K22" s="29"/>
      <c r="N22" s="50"/>
      <c r="O22" s="18"/>
      <c r="P22" s="18"/>
      <c r="Q22" s="18"/>
      <c r="S22"/>
      <c r="T22"/>
      <c r="V22" s="15">
        <f>IFERROR((basicLWB-VLOOKUP(B22,$M$10:$N$18,2,FALSE))*E22*F22,0)</f>
        <v>0</v>
      </c>
      <c r="W22" s="12" t="e">
        <f t="shared" si="7"/>
        <v>#DIV/0!</v>
      </c>
      <c r="X22" s="11"/>
      <c r="Y22" s="4"/>
      <c r="Z22" s="4"/>
      <c r="AA22" s="11">
        <v>1</v>
      </c>
    </row>
    <row r="23" spans="1:27" ht="16.5" customHeight="1" x14ac:dyDescent="0.3">
      <c r="A23" s="27"/>
      <c r="B23" s="13"/>
      <c r="C23" s="3"/>
      <c r="D23" s="7"/>
      <c r="E23" s="5"/>
      <c r="F23" s="105">
        <f t="shared" si="0"/>
        <v>0</v>
      </c>
      <c r="G23" s="106">
        <f t="shared" si="1"/>
        <v>0</v>
      </c>
      <c r="H23" s="107">
        <f t="shared" si="4"/>
        <v>0</v>
      </c>
      <c r="I23" s="35"/>
      <c r="J23" s="36"/>
      <c r="K23" s="29"/>
      <c r="N23" s="50"/>
      <c r="O23" s="18"/>
      <c r="P23" s="18"/>
      <c r="Q23" s="18"/>
      <c r="S23"/>
      <c r="T23"/>
      <c r="V23" s="15">
        <f>IFERROR((basicLWB-VLOOKUP(B23,$M$10:$N$18,2,FALSE))*E23*F23,0)</f>
        <v>0</v>
      </c>
      <c r="W23" s="12" t="e">
        <f t="shared" si="7"/>
        <v>#DIV/0!</v>
      </c>
      <c r="X23" s="11"/>
      <c r="Y23" s="4"/>
      <c r="Z23" s="4"/>
      <c r="AA23" s="4"/>
    </row>
    <row r="24" spans="1:27" ht="16.5" customHeight="1" x14ac:dyDescent="0.3">
      <c r="A24" s="27"/>
      <c r="B24" s="13"/>
      <c r="C24" s="3"/>
      <c r="D24" s="7"/>
      <c r="E24" s="5"/>
      <c r="F24" s="105">
        <f t="shared" si="0"/>
        <v>0</v>
      </c>
      <c r="G24" s="106">
        <f t="shared" si="1"/>
        <v>0</v>
      </c>
      <c r="H24" s="107">
        <f t="shared" si="4"/>
        <v>0</v>
      </c>
      <c r="I24" s="35"/>
      <c r="J24" s="36"/>
      <c r="K24" s="29"/>
      <c r="N24" s="50"/>
      <c r="O24" s="18"/>
      <c r="P24" s="18"/>
      <c r="Q24" s="18"/>
      <c r="S24"/>
      <c r="T24"/>
      <c r="V24" s="15">
        <f>IFERROR((basicLWB-VLOOKUP(B24,$M$10:$N$18,2,FALSE))*E24*F24,0)</f>
        <v>0</v>
      </c>
      <c r="W24" s="12" t="e">
        <f t="shared" si="7"/>
        <v>#DIV/0!</v>
      </c>
      <c r="X24" s="11"/>
      <c r="Y24" s="4"/>
      <c r="Z24" s="4"/>
      <c r="AA24" s="4"/>
    </row>
    <row r="25" spans="1:27" ht="16.5" customHeight="1" x14ac:dyDescent="0.3">
      <c r="A25" s="27"/>
      <c r="B25" s="13"/>
      <c r="C25" s="3"/>
      <c r="D25" s="7"/>
      <c r="E25" s="5"/>
      <c r="F25" s="105">
        <f t="shared" si="0"/>
        <v>0</v>
      </c>
      <c r="G25" s="106">
        <f t="shared" si="1"/>
        <v>0</v>
      </c>
      <c r="H25" s="107">
        <f t="shared" si="4"/>
        <v>0</v>
      </c>
      <c r="I25" s="35"/>
      <c r="J25" s="36"/>
      <c r="K25" s="29"/>
      <c r="N25" s="50"/>
      <c r="O25" s="18"/>
      <c r="P25" s="18"/>
      <c r="Q25" s="18"/>
      <c r="S25"/>
      <c r="T25"/>
      <c r="V25" s="15">
        <f>IFERROR((basicLWB-VLOOKUP(B25,$M$10:$N$18,2,FALSE))*E25*F25,0)</f>
        <v>0</v>
      </c>
      <c r="W25" s="12" t="e">
        <f t="shared" si="7"/>
        <v>#DIV/0!</v>
      </c>
      <c r="X25" s="11"/>
      <c r="Y25" s="4"/>
      <c r="Z25" s="4"/>
      <c r="AA25" s="4"/>
    </row>
    <row r="26" spans="1:27" ht="16.5" customHeight="1" x14ac:dyDescent="0.3">
      <c r="A26" s="27"/>
      <c r="B26" s="13"/>
      <c r="C26" s="3"/>
      <c r="D26" s="7"/>
      <c r="E26" s="5"/>
      <c r="F26" s="105">
        <f t="shared" si="0"/>
        <v>0</v>
      </c>
      <c r="G26" s="106">
        <f t="shared" si="1"/>
        <v>0</v>
      </c>
      <c r="H26" s="107">
        <f t="shared" si="4"/>
        <v>0</v>
      </c>
      <c r="I26" s="35"/>
      <c r="J26" s="36"/>
      <c r="K26" s="29"/>
      <c r="N26" s="50"/>
      <c r="O26" s="18"/>
      <c r="P26" s="18"/>
      <c r="Q26" s="18"/>
      <c r="S26"/>
      <c r="T26"/>
      <c r="V26" s="15">
        <f>IFERROR((basicLWB-VLOOKUP(B26,$M$10:$N$18,2,FALSE))*E26*F26,0)</f>
        <v>0</v>
      </c>
      <c r="W26" s="12" t="e">
        <f t="shared" si="7"/>
        <v>#DIV/0!</v>
      </c>
      <c r="X26" s="11"/>
      <c r="Y26" s="4"/>
      <c r="Z26" s="4"/>
      <c r="AA26" s="4"/>
    </row>
    <row r="27" spans="1:27" ht="16.5" customHeight="1" x14ac:dyDescent="0.3">
      <c r="A27" s="27"/>
      <c r="B27" s="13"/>
      <c r="C27" s="3"/>
      <c r="D27" s="7"/>
      <c r="E27" s="5"/>
      <c r="F27" s="105">
        <f t="shared" si="0"/>
        <v>0</v>
      </c>
      <c r="G27" s="106">
        <f t="shared" si="1"/>
        <v>0</v>
      </c>
      <c r="H27" s="107">
        <f t="shared" si="4"/>
        <v>0</v>
      </c>
      <c r="I27" s="35"/>
      <c r="J27" s="36"/>
      <c r="K27" s="29"/>
      <c r="N27" s="50"/>
      <c r="O27" s="18"/>
      <c r="P27" s="18"/>
      <c r="Q27" s="18"/>
      <c r="S27"/>
      <c r="T27"/>
      <c r="V27" s="15">
        <f>IFERROR((basicLWB-VLOOKUP(B27,$M$10:$N$18,2,FALSE))*E27*F27,0)</f>
        <v>0</v>
      </c>
      <c r="W27" s="12" t="e">
        <f t="shared" si="7"/>
        <v>#DIV/0!</v>
      </c>
      <c r="X27" s="11"/>
      <c r="Y27" s="4"/>
      <c r="Z27" s="4"/>
      <c r="AA27" s="4"/>
    </row>
    <row r="28" spans="1:27" ht="16.5" customHeight="1" x14ac:dyDescent="0.3">
      <c r="A28" s="27"/>
      <c r="B28" s="13"/>
      <c r="C28" s="3"/>
      <c r="D28" s="7"/>
      <c r="E28" s="5"/>
      <c r="F28" s="105">
        <f t="shared" si="0"/>
        <v>0</v>
      </c>
      <c r="G28" s="106">
        <f t="shared" si="1"/>
        <v>0</v>
      </c>
      <c r="H28" s="107">
        <f t="shared" si="4"/>
        <v>0</v>
      </c>
      <c r="I28" s="35"/>
      <c r="J28" s="36"/>
      <c r="K28" s="29"/>
      <c r="N28" s="50"/>
      <c r="O28" s="18"/>
      <c r="P28" s="18"/>
      <c r="Q28" s="18"/>
      <c r="S28"/>
      <c r="T28"/>
      <c r="V28" s="15">
        <f>IFERROR((basicLWB-VLOOKUP(B28,$M$10:$N$18,2,FALSE))*E28*F28,0)</f>
        <v>0</v>
      </c>
      <c r="W28" s="12" t="e">
        <f t="shared" si="7"/>
        <v>#DIV/0!</v>
      </c>
      <c r="X28" s="11"/>
      <c r="Y28" s="4"/>
      <c r="Z28" s="4"/>
      <c r="AA28" s="4"/>
    </row>
    <row r="29" spans="1:27" ht="16.5" customHeight="1" x14ac:dyDescent="0.3">
      <c r="A29" s="27"/>
      <c r="B29" s="13"/>
      <c r="C29" s="3"/>
      <c r="D29" s="7"/>
      <c r="E29" s="5"/>
      <c r="F29" s="105">
        <f t="shared" si="0"/>
        <v>0</v>
      </c>
      <c r="G29" s="106">
        <f t="shared" si="1"/>
        <v>0</v>
      </c>
      <c r="H29" s="107">
        <f t="shared" si="4"/>
        <v>0</v>
      </c>
      <c r="I29" s="35"/>
      <c r="J29" s="17"/>
      <c r="K29" s="29"/>
      <c r="N29" s="50"/>
      <c r="O29" s="18"/>
      <c r="P29" s="18"/>
      <c r="Q29" s="18"/>
      <c r="S29"/>
      <c r="T29"/>
      <c r="V29" s="15">
        <f>IFERROR((basicLWB-VLOOKUP(B29,$M$10:$N$18,2,FALSE))*E29*F29,0)</f>
        <v>0</v>
      </c>
      <c r="W29" s="12" t="e">
        <f t="shared" si="7"/>
        <v>#DIV/0!</v>
      </c>
      <c r="X29" s="11"/>
      <c r="Y29" s="4"/>
      <c r="Z29" s="4"/>
      <c r="AA29" s="4"/>
    </row>
    <row r="30" spans="1:27" ht="16.5" customHeight="1" x14ac:dyDescent="0.3">
      <c r="A30" s="27"/>
      <c r="B30" s="13"/>
      <c r="C30" s="3"/>
      <c r="D30" s="7"/>
      <c r="E30" s="5"/>
      <c r="F30" s="105">
        <f t="shared" si="0"/>
        <v>0</v>
      </c>
      <c r="G30" s="106">
        <f t="shared" si="1"/>
        <v>0</v>
      </c>
      <c r="H30" s="107">
        <f t="shared" si="4"/>
        <v>0</v>
      </c>
      <c r="I30" s="35"/>
      <c r="J30" s="37"/>
      <c r="K30" s="29"/>
      <c r="N30" s="50"/>
      <c r="O30" s="18"/>
      <c r="P30" s="18"/>
      <c r="Q30" s="18"/>
      <c r="S30"/>
      <c r="T30"/>
      <c r="V30" s="15">
        <f>IFERROR((basicLWB-VLOOKUP(B30,$M$10:$N$18,2,FALSE))*E30*F30,0)</f>
        <v>0</v>
      </c>
      <c r="W30" s="12" t="e">
        <f t="shared" si="7"/>
        <v>#DIV/0!</v>
      </c>
      <c r="X30" s="11"/>
      <c r="Y30" s="4"/>
      <c r="Z30" s="4"/>
      <c r="AA30" s="4"/>
    </row>
    <row r="31" spans="1:27" ht="16.5" customHeight="1" x14ac:dyDescent="0.3">
      <c r="A31" s="27"/>
      <c r="B31" s="13"/>
      <c r="C31" s="3"/>
      <c r="D31" s="7"/>
      <c r="E31" s="5"/>
      <c r="F31" s="105">
        <f t="shared" si="0"/>
        <v>0</v>
      </c>
      <c r="G31" s="106">
        <f t="shared" si="1"/>
        <v>0</v>
      </c>
      <c r="H31" s="107">
        <f t="shared" si="4"/>
        <v>0</v>
      </c>
      <c r="I31" s="35"/>
      <c r="J31" s="17"/>
      <c r="K31" s="29"/>
      <c r="N31" s="50"/>
      <c r="O31" s="18"/>
      <c r="P31" s="18"/>
      <c r="Q31" s="18"/>
      <c r="S31"/>
      <c r="T31"/>
      <c r="V31" s="15">
        <f>IFERROR((basicLWB-VLOOKUP(B31,$M$10:$N$18,2,FALSE))*E31*F31,0)</f>
        <v>0</v>
      </c>
      <c r="W31" s="12" t="e">
        <f t="shared" si="7"/>
        <v>#DIV/0!</v>
      </c>
      <c r="X31" s="11"/>
      <c r="Y31" s="4"/>
      <c r="Z31" s="4"/>
      <c r="AA31" s="4"/>
    </row>
    <row r="32" spans="1:27" ht="16.5" customHeight="1" x14ac:dyDescent="0.3">
      <c r="A32" s="27"/>
      <c r="B32" s="14"/>
      <c r="C32" s="3"/>
      <c r="D32" s="1"/>
      <c r="E32" s="5"/>
      <c r="F32" s="105">
        <f t="shared" si="0"/>
        <v>0</v>
      </c>
      <c r="G32" s="106">
        <f t="shared" si="1"/>
        <v>0</v>
      </c>
      <c r="H32" s="107">
        <f t="shared" si="4"/>
        <v>0</v>
      </c>
      <c r="I32" s="35"/>
      <c r="J32" s="17"/>
      <c r="K32" s="29"/>
      <c r="N32" s="50"/>
      <c r="O32" s="18"/>
      <c r="P32" s="18"/>
      <c r="Q32" s="18"/>
      <c r="S32"/>
      <c r="T32"/>
      <c r="V32" s="15">
        <f>IFERROR((basicLWB-VLOOKUP(B32,$M$10:$N$18,2,FALSE))*E32*F32,0)</f>
        <v>0</v>
      </c>
      <c r="W32" s="12" t="e">
        <f t="shared" si="7"/>
        <v>#DIV/0!</v>
      </c>
      <c r="X32" s="11"/>
      <c r="Y32" s="4"/>
      <c r="Z32" s="4"/>
      <c r="AA32" s="4"/>
    </row>
    <row r="33" spans="1:27" ht="16.5" customHeight="1" x14ac:dyDescent="0.3">
      <c r="A33" s="27"/>
      <c r="B33" s="14"/>
      <c r="C33" s="3"/>
      <c r="D33" s="1"/>
      <c r="E33" s="5"/>
      <c r="F33" s="105">
        <f t="shared" si="0"/>
        <v>0</v>
      </c>
      <c r="G33" s="106">
        <f t="shared" si="1"/>
        <v>0</v>
      </c>
      <c r="H33" s="107">
        <f t="shared" si="4"/>
        <v>0</v>
      </c>
      <c r="I33" s="35"/>
      <c r="J33" s="17"/>
      <c r="K33" s="29"/>
      <c r="O33" s="18"/>
      <c r="P33" s="18"/>
      <c r="Q33" s="18"/>
      <c r="S33"/>
      <c r="T33"/>
      <c r="V33" s="15">
        <f>IFERROR((basicLWB-VLOOKUP(B33,$M$10:$N$18,2,FALSE))*E33*F33,0)</f>
        <v>0</v>
      </c>
      <c r="W33" s="12" t="e">
        <f t="shared" si="7"/>
        <v>#DIV/0!</v>
      </c>
      <c r="X33" s="11"/>
      <c r="Y33" s="4"/>
      <c r="Z33" s="4"/>
      <c r="AA33" s="4"/>
    </row>
    <row r="34" spans="1:27" ht="16.5" customHeight="1" x14ac:dyDescent="0.3">
      <c r="A34" s="27"/>
      <c r="B34" s="14"/>
      <c r="C34" s="3"/>
      <c r="D34" s="1"/>
      <c r="E34" s="5"/>
      <c r="F34" s="105">
        <f t="shared" si="0"/>
        <v>0</v>
      </c>
      <c r="G34" s="106">
        <f t="shared" si="1"/>
        <v>0</v>
      </c>
      <c r="H34" s="107">
        <f t="shared" si="4"/>
        <v>0</v>
      </c>
      <c r="I34" s="35"/>
      <c r="J34" s="17"/>
      <c r="K34" s="29"/>
      <c r="O34" s="18"/>
      <c r="P34" s="18"/>
      <c r="Q34" s="18"/>
      <c r="S34"/>
      <c r="T34"/>
      <c r="V34" s="15">
        <f>IFERROR((basicLWB-VLOOKUP(B34,$M$10:$N$18,2,FALSE))*E34*F34,0)</f>
        <v>0</v>
      </c>
      <c r="W34" s="12" t="e">
        <f t="shared" ref="W34:W40" si="8">+V34/LWgap</f>
        <v>#DIV/0!</v>
      </c>
      <c r="X34" s="11"/>
      <c r="Y34" s="4"/>
      <c r="Z34" s="4"/>
      <c r="AA34" s="4"/>
    </row>
    <row r="35" spans="1:27" ht="16.5" customHeight="1" x14ac:dyDescent="0.3">
      <c r="A35" s="27"/>
      <c r="B35" s="14"/>
      <c r="C35" s="3"/>
      <c r="D35" s="1"/>
      <c r="E35" s="5"/>
      <c r="F35" s="105">
        <f t="shared" si="0"/>
        <v>0</v>
      </c>
      <c r="G35" s="106">
        <f t="shared" si="1"/>
        <v>0</v>
      </c>
      <c r="H35" s="107">
        <f t="shared" si="4"/>
        <v>0</v>
      </c>
      <c r="I35" s="35"/>
      <c r="J35" s="17"/>
      <c r="K35" s="29"/>
      <c r="O35" s="18"/>
      <c r="P35" s="18"/>
      <c r="Q35" s="18"/>
      <c r="S35"/>
      <c r="T35"/>
      <c r="V35" s="15">
        <f>IFERROR((basicLWB-VLOOKUP(B35,$M$10:$N$18,2,FALSE))*E35*F35,0)</f>
        <v>0</v>
      </c>
      <c r="W35" s="12" t="e">
        <f t="shared" si="8"/>
        <v>#DIV/0!</v>
      </c>
      <c r="X35" s="11"/>
      <c r="Y35" s="4"/>
      <c r="Z35" s="4"/>
      <c r="AA35" s="4"/>
    </row>
    <row r="36" spans="1:27" ht="16.5" customHeight="1" x14ac:dyDescent="0.3">
      <c r="A36" s="27"/>
      <c r="B36" s="14"/>
      <c r="C36" s="3"/>
      <c r="D36" s="1"/>
      <c r="E36" s="5"/>
      <c r="F36" s="105">
        <f t="shared" si="0"/>
        <v>0</v>
      </c>
      <c r="G36" s="106">
        <f t="shared" si="1"/>
        <v>0</v>
      </c>
      <c r="H36" s="107">
        <f t="shared" si="4"/>
        <v>0</v>
      </c>
      <c r="I36" s="35"/>
      <c r="J36" s="37"/>
      <c r="K36" s="29"/>
      <c r="O36" s="18"/>
      <c r="P36" s="18"/>
      <c r="Q36" s="18"/>
      <c r="S36"/>
      <c r="T36"/>
      <c r="V36" s="15">
        <f>IFERROR((basicLWB-VLOOKUP(B36,$M$10:$N$18,2,FALSE))*E36*F36,0)</f>
        <v>0</v>
      </c>
      <c r="W36" s="12" t="e">
        <f t="shared" si="8"/>
        <v>#DIV/0!</v>
      </c>
      <c r="X36" s="11"/>
      <c r="Y36" s="4"/>
      <c r="Z36" s="4"/>
      <c r="AA36" s="4"/>
    </row>
    <row r="37" spans="1:27" ht="16.5" customHeight="1" x14ac:dyDescent="0.3">
      <c r="A37" s="27"/>
      <c r="B37" s="14"/>
      <c r="C37" s="3"/>
      <c r="D37" s="1"/>
      <c r="E37" s="5"/>
      <c r="F37" s="105">
        <f t="shared" si="0"/>
        <v>0</v>
      </c>
      <c r="G37" s="106">
        <f t="shared" si="1"/>
        <v>0</v>
      </c>
      <c r="H37" s="107">
        <f t="shared" si="4"/>
        <v>0</v>
      </c>
      <c r="I37" s="35"/>
      <c r="J37" s="37"/>
      <c r="K37" s="29"/>
      <c r="O37" s="18"/>
      <c r="P37" s="18"/>
      <c r="Q37" s="18"/>
      <c r="S37"/>
      <c r="T37"/>
      <c r="V37" s="15">
        <f>IFERROR((basicLWB-VLOOKUP(B37,$M$10:$N$18,2,FALSE))*E37*F37,0)</f>
        <v>0</v>
      </c>
      <c r="W37" s="12" t="e">
        <f t="shared" si="8"/>
        <v>#DIV/0!</v>
      </c>
      <c r="X37" s="11"/>
      <c r="Y37" s="4"/>
      <c r="Z37" s="4"/>
      <c r="AA37" s="4"/>
    </row>
    <row r="38" spans="1:27" ht="16.5" customHeight="1" x14ac:dyDescent="0.3">
      <c r="A38" s="27"/>
      <c r="B38" s="14"/>
      <c r="C38" s="3"/>
      <c r="D38" s="1"/>
      <c r="E38" s="5"/>
      <c r="F38" s="105">
        <f t="shared" si="0"/>
        <v>0</v>
      </c>
      <c r="G38" s="106">
        <f t="shared" si="1"/>
        <v>0</v>
      </c>
      <c r="H38" s="107">
        <f t="shared" si="4"/>
        <v>0</v>
      </c>
      <c r="I38" s="35"/>
      <c r="J38" s="17"/>
      <c r="K38" s="29"/>
      <c r="O38" s="18"/>
      <c r="P38" s="18"/>
      <c r="Q38" s="18"/>
      <c r="S38"/>
      <c r="T38"/>
      <c r="V38" s="15">
        <f>IFERROR((basicLWB-VLOOKUP(B38,$M$10:$N$18,2,FALSE))*E38*F38,0)</f>
        <v>0</v>
      </c>
      <c r="W38" s="12" t="e">
        <f t="shared" si="8"/>
        <v>#DIV/0!</v>
      </c>
      <c r="X38" s="11"/>
      <c r="Y38" s="4"/>
      <c r="Z38" s="4"/>
      <c r="AA38" s="4"/>
    </row>
    <row r="39" spans="1:27" ht="16.5" customHeight="1" x14ac:dyDescent="0.3">
      <c r="A39" s="27"/>
      <c r="B39" s="14"/>
      <c r="C39" s="3"/>
      <c r="D39" s="1"/>
      <c r="E39" s="5"/>
      <c r="F39" s="105">
        <f t="shared" si="0"/>
        <v>0</v>
      </c>
      <c r="G39" s="106">
        <f t="shared" si="1"/>
        <v>0</v>
      </c>
      <c r="H39" s="107">
        <f t="shared" si="4"/>
        <v>0</v>
      </c>
      <c r="I39" s="35"/>
      <c r="J39" s="17"/>
      <c r="K39" s="29"/>
      <c r="O39" s="18"/>
      <c r="P39" s="18"/>
      <c r="Q39" s="18"/>
      <c r="S39"/>
      <c r="T39"/>
      <c r="V39" s="15">
        <f>IFERROR((basicLWB-VLOOKUP(B39,$M$10:$N$18,2,FALSE))*E39*F39,0)</f>
        <v>0</v>
      </c>
      <c r="W39" s="12" t="e">
        <f t="shared" si="8"/>
        <v>#DIV/0!</v>
      </c>
      <c r="X39" s="11"/>
      <c r="Y39" s="4"/>
      <c r="Z39" s="4"/>
      <c r="AA39" s="4"/>
    </row>
    <row r="40" spans="1:27" ht="16.5" customHeight="1" thickBot="1" x14ac:dyDescent="0.35">
      <c r="A40" s="27"/>
      <c r="B40" s="14"/>
      <c r="C40" s="3"/>
      <c r="D40" s="1"/>
      <c r="E40" s="5"/>
      <c r="F40" s="105">
        <f t="shared" si="0"/>
        <v>0</v>
      </c>
      <c r="G40" s="106">
        <f t="shared" si="1"/>
        <v>0</v>
      </c>
      <c r="H40" s="107">
        <f t="shared" si="4"/>
        <v>0</v>
      </c>
      <c r="I40" s="35"/>
      <c r="J40" s="17"/>
      <c r="K40" s="29"/>
      <c r="O40" s="18"/>
      <c r="P40" s="18"/>
      <c r="Q40" s="18"/>
      <c r="S40"/>
      <c r="T40"/>
      <c r="V40" s="15">
        <f>IFERROR((basicLWB-VLOOKUP(B40,$M$10:$N$18,2,FALSE))*E40*F40,0)</f>
        <v>0</v>
      </c>
      <c r="W40" s="12" t="e">
        <f t="shared" si="8"/>
        <v>#DIV/0!</v>
      </c>
      <c r="X40" s="11"/>
      <c r="Y40" s="4"/>
      <c r="Z40" s="4"/>
      <c r="AA40" s="4"/>
    </row>
    <row r="41" spans="1:27" ht="16.5" customHeight="1" thickBot="1" x14ac:dyDescent="0.35">
      <c r="A41" s="27"/>
      <c r="B41" s="100" t="s">
        <v>48</v>
      </c>
      <c r="C41" s="101">
        <f>SUM(C10:C40)</f>
        <v>0</v>
      </c>
      <c r="D41" s="101"/>
      <c r="E41" s="102"/>
      <c r="F41" s="102">
        <f>SUM(F10:F40)</f>
        <v>0</v>
      </c>
      <c r="G41" s="103">
        <f>SUM(G10:G40)</f>
        <v>0</v>
      </c>
      <c r="H41" s="104"/>
      <c r="I41" s="38"/>
      <c r="J41" s="17"/>
      <c r="K41" s="29"/>
      <c r="O41" s="18"/>
      <c r="P41" s="18"/>
      <c r="Q41" s="18"/>
      <c r="S41"/>
      <c r="T41"/>
      <c r="V41" s="16">
        <f>SUM(V10:V40)</f>
        <v>0</v>
      </c>
      <c r="W41" s="9" t="e">
        <f>SUM(W10:W40)</f>
        <v>#DIV/0!</v>
      </c>
      <c r="X41" s="11"/>
      <c r="Y41" s="4"/>
      <c r="Z41" s="4"/>
      <c r="AA41" s="4"/>
    </row>
    <row r="42" spans="1:27" ht="15.75" customHeight="1" thickBot="1" x14ac:dyDescent="0.35">
      <c r="A42" s="27"/>
      <c r="B42" s="17"/>
      <c r="C42" s="17"/>
      <c r="D42" s="17"/>
      <c r="E42" s="17"/>
      <c r="F42" s="17"/>
      <c r="G42" s="17"/>
      <c r="H42" s="17"/>
      <c r="I42" s="17"/>
      <c r="J42" s="17"/>
      <c r="K42" s="29"/>
      <c r="O42" s="18"/>
      <c r="P42" s="18"/>
      <c r="Q42" s="18"/>
      <c r="S42"/>
      <c r="T42"/>
    </row>
    <row r="43" spans="1:27" ht="15.75" customHeight="1" thickBot="1" x14ac:dyDescent="0.35">
      <c r="A43" s="27"/>
      <c r="B43" s="130" t="s">
        <v>64</v>
      </c>
      <c r="C43" s="131"/>
      <c r="D43" s="124" t="s">
        <v>65</v>
      </c>
      <c r="E43" s="125"/>
      <c r="F43" s="125"/>
      <c r="G43" s="126"/>
      <c r="H43" s="104">
        <f>+D6*0.3</f>
        <v>0</v>
      </c>
      <c r="I43" s="45" t="str">
        <f>T9&amp;"/"&amp;D5&amp;" mois-période"</f>
        <v>CA CFA francs/ mois-période</v>
      </c>
      <c r="J43" s="17"/>
      <c r="K43" s="29"/>
      <c r="O43" s="18"/>
      <c r="P43" s="18"/>
      <c r="Q43" s="18"/>
      <c r="S43"/>
      <c r="T43"/>
    </row>
    <row r="44" spans="1:27" ht="15.75" customHeight="1" thickBot="1" x14ac:dyDescent="0.35">
      <c r="A44" s="27"/>
      <c r="B44" s="132"/>
      <c r="C44" s="133"/>
      <c r="D44" s="127" t="s">
        <v>66</v>
      </c>
      <c r="E44" s="128"/>
      <c r="F44" s="128"/>
      <c r="G44" s="129"/>
      <c r="H44" s="104">
        <f>G41</f>
        <v>0</v>
      </c>
      <c r="I44" s="45" t="str">
        <f>I43</f>
        <v>CA CFA francs/ mois-période</v>
      </c>
      <c r="J44" s="17"/>
      <c r="K44" s="29"/>
      <c r="O44" s="18"/>
      <c r="P44" s="18"/>
      <c r="Q44" s="18"/>
      <c r="S44"/>
      <c r="T44"/>
    </row>
    <row r="45" spans="1:27" ht="6.75" customHeight="1" x14ac:dyDescent="0.3">
      <c r="A45" s="27"/>
      <c r="B45" s="17"/>
      <c r="C45" s="17"/>
      <c r="D45" s="17"/>
      <c r="E45" s="17"/>
      <c r="F45" s="17"/>
      <c r="G45" s="17"/>
      <c r="H45" s="17"/>
      <c r="I45" s="17"/>
      <c r="J45" s="17"/>
      <c r="K45" s="29"/>
      <c r="O45" s="18"/>
      <c r="P45" s="18"/>
      <c r="Q45" s="18"/>
      <c r="S45"/>
      <c r="T45"/>
    </row>
    <row r="46" spans="1:27" ht="15.75" customHeight="1" x14ac:dyDescent="0.3">
      <c r="A46" s="27"/>
      <c r="B46" s="17"/>
      <c r="C46" s="17"/>
      <c r="D46" s="17"/>
      <c r="E46" s="17"/>
      <c r="F46" s="17"/>
      <c r="G46" s="17"/>
      <c r="H46" s="17"/>
      <c r="I46" s="17"/>
      <c r="J46" s="17"/>
      <c r="K46" s="29"/>
      <c r="O46" s="18"/>
      <c r="P46" s="18"/>
      <c r="Q46" s="18"/>
      <c r="S46"/>
      <c r="T46"/>
    </row>
    <row r="47" spans="1:27" ht="15" thickBot="1" x14ac:dyDescent="0.35">
      <c r="A47" s="39"/>
      <c r="B47" s="40"/>
      <c r="C47" s="40"/>
      <c r="D47" s="40"/>
      <c r="E47" s="40"/>
      <c r="F47" s="40"/>
      <c r="G47" s="40"/>
      <c r="H47" s="40"/>
      <c r="I47" s="40"/>
      <c r="J47" s="40"/>
      <c r="K47" s="41"/>
      <c r="O47" s="18"/>
      <c r="P47" s="18"/>
      <c r="Q47" s="18"/>
      <c r="S47"/>
      <c r="T47"/>
    </row>
    <row r="48" spans="1:27" x14ac:dyDescent="0.3">
      <c r="M48" s="108"/>
      <c r="O48" s="42"/>
      <c r="P48" s="42"/>
      <c r="Q48" s="42"/>
      <c r="R48" s="46"/>
      <c r="S48" s="43"/>
      <c r="T48" s="46"/>
    </row>
    <row r="49" spans="13:20" ht="15.6" x14ac:dyDescent="0.3">
      <c r="M49" s="52"/>
      <c r="N49" s="53"/>
      <c r="O49" s="54"/>
      <c r="P49" s="55"/>
      <c r="Q49" s="42"/>
      <c r="R49" s="56"/>
      <c r="S49" s="46"/>
      <c r="T49" s="46"/>
    </row>
    <row r="50" spans="13:20" ht="15.6" x14ac:dyDescent="0.3">
      <c r="M50" s="52"/>
      <c r="N50" s="53"/>
      <c r="O50" s="55"/>
      <c r="P50" s="55"/>
      <c r="Q50" s="42"/>
      <c r="R50" s="56"/>
      <c r="S50" s="46"/>
      <c r="T50" s="46"/>
    </row>
    <row r="51" spans="13:20" ht="15.6" x14ac:dyDescent="0.3">
      <c r="M51" s="52"/>
      <c r="N51" s="53"/>
      <c r="O51" s="55"/>
      <c r="P51" s="55"/>
      <c r="Q51" s="42"/>
      <c r="R51" s="56"/>
      <c r="S51" s="46"/>
      <c r="T51" s="46"/>
    </row>
    <row r="52" spans="13:20" ht="15.6" x14ac:dyDescent="0.3">
      <c r="M52" s="52"/>
      <c r="N52" s="53"/>
      <c r="O52" s="55"/>
      <c r="P52" s="55"/>
      <c r="Q52" s="42"/>
      <c r="R52" s="56"/>
      <c r="S52" s="46"/>
      <c r="T52" s="46"/>
    </row>
    <row r="53" spans="13:20" ht="15.6" x14ac:dyDescent="0.3">
      <c r="M53" s="52"/>
      <c r="N53" s="53"/>
      <c r="O53" s="55"/>
      <c r="P53" s="55"/>
      <c r="Q53" s="42"/>
      <c r="R53" s="56"/>
      <c r="S53" s="46"/>
      <c r="T53" s="46"/>
    </row>
    <row r="54" spans="13:20" ht="15.6" x14ac:dyDescent="0.3">
      <c r="M54" s="52"/>
      <c r="N54" s="53"/>
      <c r="O54" s="55"/>
      <c r="P54" s="55"/>
      <c r="Q54" s="42"/>
      <c r="R54" s="56"/>
      <c r="S54" s="46"/>
      <c r="T54" s="46"/>
    </row>
    <row r="55" spans="13:20" ht="15.6" x14ac:dyDescent="0.3">
      <c r="M55" s="52"/>
      <c r="N55" s="53"/>
      <c r="O55" s="55"/>
      <c r="P55" s="55"/>
      <c r="Q55" s="42"/>
      <c r="R55" s="56"/>
      <c r="S55" s="46"/>
      <c r="T55" s="46"/>
    </row>
    <row r="56" spans="13:20" ht="15.6" x14ac:dyDescent="0.3">
      <c r="M56" s="52"/>
      <c r="N56" s="53"/>
      <c r="O56" s="55"/>
      <c r="P56" s="55"/>
      <c r="Q56" s="42"/>
      <c r="R56" s="56"/>
      <c r="S56" s="46"/>
      <c r="T56" s="46"/>
    </row>
    <row r="57" spans="13:20" ht="15.6" x14ac:dyDescent="0.3">
      <c r="M57" s="52"/>
      <c r="N57" s="53"/>
      <c r="O57" s="55"/>
      <c r="P57" s="54"/>
      <c r="Q57" s="42"/>
      <c r="R57" s="56"/>
      <c r="S57" s="46"/>
      <c r="T57" s="46"/>
    </row>
    <row r="58" spans="13:20" x14ac:dyDescent="0.3">
      <c r="O58" s="57"/>
      <c r="P58" s="109"/>
      <c r="Q58" s="42"/>
      <c r="R58" s="46"/>
      <c r="S58" s="46"/>
      <c r="T58" s="46"/>
    </row>
    <row r="59" spans="13:20" x14ac:dyDescent="0.3">
      <c r="M59" s="108"/>
      <c r="O59" s="42"/>
      <c r="P59" s="42"/>
      <c r="Q59" s="42"/>
      <c r="R59" s="46"/>
      <c r="S59" s="43"/>
      <c r="T59" s="46"/>
    </row>
    <row r="60" spans="13:20" ht="15.6" x14ac:dyDescent="0.3">
      <c r="M60" s="52"/>
      <c r="N60" s="53"/>
      <c r="O60" s="54"/>
      <c r="P60" s="55"/>
      <c r="Q60" s="42"/>
      <c r="R60" s="56"/>
      <c r="S60" s="46"/>
      <c r="T60" s="46"/>
    </row>
    <row r="61" spans="13:20" ht="15.6" x14ac:dyDescent="0.3">
      <c r="M61" s="52"/>
      <c r="N61" s="53"/>
      <c r="O61" s="55"/>
      <c r="P61" s="55"/>
      <c r="Q61" s="42"/>
      <c r="R61" s="56"/>
      <c r="S61" s="46"/>
      <c r="T61" s="46"/>
    </row>
    <row r="62" spans="13:20" ht="15.6" x14ac:dyDescent="0.3">
      <c r="M62" s="52"/>
      <c r="N62" s="53"/>
      <c r="O62" s="55"/>
      <c r="P62" s="55"/>
      <c r="Q62" s="42"/>
      <c r="R62" s="56"/>
      <c r="S62" s="46"/>
      <c r="T62" s="46"/>
    </row>
    <row r="63" spans="13:20" ht="15.6" x14ac:dyDescent="0.3">
      <c r="M63" s="52"/>
      <c r="N63" s="53"/>
      <c r="O63" s="55"/>
      <c r="P63" s="55"/>
      <c r="Q63" s="42"/>
      <c r="R63" s="56"/>
      <c r="S63" s="46"/>
      <c r="T63" s="46"/>
    </row>
    <row r="64" spans="13:20" ht="15.6" x14ac:dyDescent="0.3">
      <c r="M64" s="52"/>
      <c r="N64" s="53"/>
      <c r="O64" s="55"/>
      <c r="P64" s="55"/>
      <c r="Q64" s="42"/>
      <c r="R64" s="56"/>
      <c r="S64" s="46"/>
      <c r="T64" s="46"/>
    </row>
    <row r="65" spans="13:20" ht="15.6" x14ac:dyDescent="0.3">
      <c r="M65" s="52"/>
      <c r="N65" s="53"/>
      <c r="O65" s="55"/>
      <c r="P65" s="55"/>
      <c r="Q65" s="42"/>
      <c r="R65" s="56"/>
      <c r="S65" s="46"/>
      <c r="T65" s="46"/>
    </row>
    <row r="66" spans="13:20" ht="15.6" x14ac:dyDescent="0.3">
      <c r="M66" s="52"/>
      <c r="N66" s="53"/>
      <c r="O66" s="55"/>
      <c r="P66" s="55"/>
      <c r="Q66" s="42"/>
      <c r="R66" s="56"/>
      <c r="S66" s="46"/>
      <c r="T66" s="46"/>
    </row>
    <row r="67" spans="13:20" ht="15.6" x14ac:dyDescent="0.3">
      <c r="M67" s="52"/>
      <c r="N67" s="53"/>
      <c r="O67" s="55"/>
      <c r="P67" s="55"/>
      <c r="Q67" s="42"/>
      <c r="R67" s="56"/>
      <c r="S67" s="46"/>
      <c r="T67" s="46"/>
    </row>
    <row r="68" spans="13:20" ht="15.6" x14ac:dyDescent="0.3">
      <c r="M68" s="52"/>
      <c r="N68" s="53"/>
      <c r="O68" s="55"/>
      <c r="P68" s="54"/>
      <c r="Q68" s="42"/>
      <c r="R68" s="56"/>
      <c r="S68" s="46"/>
      <c r="T68" s="46"/>
    </row>
    <row r="69" spans="13:20" x14ac:dyDescent="0.3">
      <c r="O69" s="57"/>
      <c r="P69" s="109"/>
      <c r="Q69" s="42"/>
      <c r="R69" s="46"/>
      <c r="S69" s="46"/>
      <c r="T69" s="46"/>
    </row>
    <row r="70" spans="13:20" x14ac:dyDescent="0.3">
      <c r="M70" s="47"/>
      <c r="O70" s="42"/>
      <c r="P70" s="42"/>
      <c r="Q70" s="42"/>
      <c r="R70" s="46"/>
      <c r="S70" s="43"/>
      <c r="T70" s="46"/>
    </row>
    <row r="71" spans="13:20" ht="15.6" x14ac:dyDescent="0.3">
      <c r="M71" s="52"/>
      <c r="N71" s="53"/>
      <c r="O71" s="54"/>
      <c r="P71" s="55"/>
      <c r="Q71" s="42"/>
      <c r="R71" s="56"/>
      <c r="S71" s="46"/>
      <c r="T71" s="46"/>
    </row>
    <row r="72" spans="13:20" ht="15.6" x14ac:dyDescent="0.3">
      <c r="M72" s="52"/>
      <c r="N72" s="53"/>
      <c r="O72" s="55"/>
      <c r="P72" s="55"/>
      <c r="Q72" s="42"/>
      <c r="R72" s="56"/>
      <c r="S72" s="46"/>
      <c r="T72" s="46"/>
    </row>
    <row r="73" spans="13:20" ht="15.6" x14ac:dyDescent="0.3">
      <c r="M73" s="52"/>
      <c r="N73" s="53"/>
      <c r="O73" s="55"/>
      <c r="P73" s="55"/>
      <c r="Q73" s="42"/>
      <c r="R73" s="56"/>
      <c r="S73" s="46"/>
      <c r="T73" s="46"/>
    </row>
    <row r="74" spans="13:20" ht="15.6" x14ac:dyDescent="0.3">
      <c r="M74" s="52"/>
      <c r="N74" s="53"/>
      <c r="O74" s="55"/>
      <c r="P74" s="55"/>
      <c r="Q74" s="42"/>
      <c r="R74" s="56"/>
      <c r="S74" s="46"/>
      <c r="T74" s="46"/>
    </row>
    <row r="75" spans="13:20" ht="15.6" x14ac:dyDescent="0.3">
      <c r="M75" s="52"/>
      <c r="N75" s="53"/>
      <c r="O75" s="55"/>
      <c r="P75" s="55"/>
      <c r="Q75" s="42"/>
      <c r="R75" s="56"/>
      <c r="S75" s="46"/>
      <c r="T75" s="46"/>
    </row>
    <row r="76" spans="13:20" ht="15.6" x14ac:dyDescent="0.3">
      <c r="M76" s="52"/>
      <c r="N76" s="53"/>
      <c r="O76" s="55"/>
      <c r="P76" s="55"/>
      <c r="Q76" s="42"/>
      <c r="R76" s="56"/>
      <c r="S76" s="46"/>
      <c r="T76" s="46"/>
    </row>
    <row r="77" spans="13:20" ht="15.6" x14ac:dyDescent="0.3">
      <c r="M77" s="52"/>
      <c r="N77" s="53"/>
      <c r="O77" s="55"/>
      <c r="P77" s="55"/>
      <c r="Q77" s="42"/>
      <c r="R77" s="56"/>
      <c r="S77" s="46"/>
      <c r="T77" s="46"/>
    </row>
    <row r="78" spans="13:20" ht="15.6" x14ac:dyDescent="0.3">
      <c r="M78" s="52"/>
      <c r="N78" s="53"/>
      <c r="O78" s="55"/>
      <c r="P78" s="55"/>
      <c r="Q78" s="42"/>
      <c r="R78" s="56"/>
      <c r="S78" s="46"/>
      <c r="T78" s="46"/>
    </row>
    <row r="79" spans="13:20" ht="15.6" x14ac:dyDescent="0.3">
      <c r="M79" s="52"/>
      <c r="N79" s="53"/>
      <c r="O79" s="55"/>
      <c r="P79" s="54"/>
      <c r="Q79" s="42"/>
      <c r="R79" s="56"/>
      <c r="S79" s="46"/>
      <c r="T79" s="46"/>
    </row>
    <row r="80" spans="13:20" x14ac:dyDescent="0.3">
      <c r="O80" s="57"/>
      <c r="P80" s="109"/>
      <c r="Q80" s="42"/>
      <c r="R80" s="46"/>
      <c r="S80" s="46"/>
      <c r="T80" s="46"/>
    </row>
    <row r="81" spans="13:20" x14ac:dyDescent="0.3">
      <c r="M81" s="47"/>
      <c r="O81" s="42"/>
      <c r="P81" s="42"/>
      <c r="Q81" s="42"/>
      <c r="R81" s="46"/>
      <c r="S81" s="43"/>
      <c r="T81" s="46"/>
    </row>
    <row r="82" spans="13:20" ht="15.6" x14ac:dyDescent="0.3">
      <c r="M82" s="52"/>
      <c r="N82" s="53"/>
      <c r="O82" s="54"/>
      <c r="P82" s="55"/>
      <c r="Q82" s="42"/>
      <c r="R82" s="56"/>
      <c r="S82" s="46"/>
      <c r="T82" s="46"/>
    </row>
    <row r="83" spans="13:20" ht="15.6" x14ac:dyDescent="0.3">
      <c r="M83" s="52"/>
      <c r="N83" s="53"/>
      <c r="O83" s="55"/>
      <c r="P83" s="55"/>
      <c r="Q83" s="42"/>
      <c r="R83" s="56"/>
      <c r="S83" s="46"/>
      <c r="T83" s="46"/>
    </row>
    <row r="84" spans="13:20" ht="15.6" x14ac:dyDescent="0.3">
      <c r="M84" s="52"/>
      <c r="N84" s="53"/>
      <c r="O84" s="55"/>
      <c r="P84" s="55"/>
      <c r="Q84" s="42"/>
      <c r="R84" s="56"/>
      <c r="S84" s="46"/>
      <c r="T84" s="46"/>
    </row>
    <row r="85" spans="13:20" ht="15.6" x14ac:dyDescent="0.3">
      <c r="M85" s="52"/>
      <c r="N85" s="53"/>
      <c r="O85" s="55"/>
      <c r="P85" s="55"/>
      <c r="Q85" s="42"/>
      <c r="R85" s="56"/>
      <c r="S85" s="46"/>
      <c r="T85" s="46"/>
    </row>
    <row r="86" spans="13:20" ht="15.6" x14ac:dyDescent="0.3">
      <c r="M86" s="52"/>
      <c r="N86" s="53"/>
      <c r="O86" s="55"/>
      <c r="P86" s="55"/>
      <c r="Q86" s="42"/>
      <c r="R86" s="56"/>
      <c r="S86" s="46"/>
      <c r="T86" s="46"/>
    </row>
    <row r="87" spans="13:20" ht="15.6" x14ac:dyDescent="0.3">
      <c r="M87" s="52"/>
      <c r="N87" s="53"/>
      <c r="O87" s="55"/>
      <c r="P87" s="55"/>
      <c r="Q87" s="42"/>
      <c r="R87" s="56"/>
      <c r="S87" s="46"/>
      <c r="T87" s="46"/>
    </row>
    <row r="88" spans="13:20" ht="15.6" x14ac:dyDescent="0.3">
      <c r="M88" s="52"/>
      <c r="N88" s="53"/>
      <c r="O88" s="55"/>
      <c r="P88" s="55"/>
      <c r="Q88" s="42"/>
      <c r="R88" s="56"/>
      <c r="S88" s="46"/>
      <c r="T88" s="46"/>
    </row>
    <row r="89" spans="13:20" ht="15.6" x14ac:dyDescent="0.3">
      <c r="M89" s="52"/>
      <c r="N89" s="53"/>
      <c r="O89" s="55"/>
      <c r="P89" s="55"/>
      <c r="Q89" s="42"/>
      <c r="R89" s="56"/>
      <c r="S89" s="46"/>
      <c r="T89" s="46"/>
    </row>
    <row r="90" spans="13:20" ht="15.6" x14ac:dyDescent="0.3">
      <c r="M90" s="52"/>
      <c r="N90" s="53"/>
      <c r="O90" s="55"/>
      <c r="P90" s="54"/>
      <c r="Q90" s="42"/>
      <c r="R90" s="56"/>
      <c r="S90" s="46"/>
      <c r="T90" s="46"/>
    </row>
    <row r="91" spans="13:20" x14ac:dyDescent="0.3">
      <c r="O91" s="57"/>
      <c r="P91" s="109"/>
      <c r="Q91" s="42"/>
      <c r="R91" s="46"/>
      <c r="S91" s="46"/>
      <c r="T91" s="46"/>
    </row>
    <row r="92" spans="13:20" x14ac:dyDescent="0.3">
      <c r="M92" s="47"/>
      <c r="O92" s="42"/>
      <c r="P92" s="42"/>
      <c r="Q92" s="42"/>
      <c r="R92" s="46"/>
      <c r="S92" s="43"/>
      <c r="T92" s="46"/>
    </row>
    <row r="93" spans="13:20" ht="15.6" x14ac:dyDescent="0.3">
      <c r="M93" s="52"/>
      <c r="N93" s="53"/>
      <c r="O93" s="54"/>
      <c r="P93" s="55"/>
      <c r="Q93" s="42"/>
      <c r="R93" s="56"/>
      <c r="S93" s="46"/>
      <c r="T93" s="46"/>
    </row>
    <row r="94" spans="13:20" ht="15.6" x14ac:dyDescent="0.3">
      <c r="M94" s="52"/>
      <c r="N94" s="53"/>
      <c r="O94" s="55"/>
      <c r="P94" s="55"/>
      <c r="Q94" s="42"/>
      <c r="R94" s="56"/>
      <c r="S94" s="46"/>
      <c r="T94" s="46"/>
    </row>
    <row r="95" spans="13:20" ht="15.6" x14ac:dyDescent="0.3">
      <c r="M95" s="52"/>
      <c r="N95" s="53"/>
      <c r="O95" s="55"/>
      <c r="P95" s="55"/>
      <c r="Q95" s="42"/>
      <c r="R95" s="56"/>
      <c r="S95" s="46"/>
      <c r="T95" s="46"/>
    </row>
    <row r="96" spans="13:20" ht="15.6" x14ac:dyDescent="0.3">
      <c r="M96" s="52"/>
      <c r="N96" s="53"/>
      <c r="O96" s="55"/>
      <c r="P96" s="55"/>
      <c r="Q96" s="42"/>
      <c r="R96" s="56"/>
      <c r="S96" s="46"/>
      <c r="T96" s="46"/>
    </row>
    <row r="97" spans="13:20" ht="15.6" x14ac:dyDescent="0.3">
      <c r="M97" s="52"/>
      <c r="N97" s="53"/>
      <c r="O97" s="55"/>
      <c r="P97" s="55"/>
      <c r="Q97" s="42"/>
      <c r="R97" s="56"/>
      <c r="S97" s="46"/>
      <c r="T97" s="46"/>
    </row>
    <row r="98" spans="13:20" ht="15.6" x14ac:dyDescent="0.3">
      <c r="M98" s="52"/>
      <c r="N98" s="53"/>
      <c r="O98" s="55"/>
      <c r="P98" s="55"/>
      <c r="Q98" s="42"/>
      <c r="R98" s="56"/>
      <c r="S98" s="46"/>
      <c r="T98" s="46"/>
    </row>
    <row r="99" spans="13:20" ht="15.6" x14ac:dyDescent="0.3">
      <c r="M99" s="52"/>
      <c r="N99" s="53"/>
      <c r="O99" s="55"/>
      <c r="P99" s="55"/>
      <c r="Q99" s="42"/>
      <c r="R99" s="56"/>
      <c r="S99" s="46"/>
      <c r="T99" s="46"/>
    </row>
    <row r="100" spans="13:20" ht="15.6" x14ac:dyDescent="0.3">
      <c r="M100" s="52"/>
      <c r="N100" s="53"/>
      <c r="O100" s="55"/>
      <c r="P100" s="55"/>
      <c r="Q100" s="42"/>
      <c r="R100" s="56"/>
      <c r="S100" s="46"/>
      <c r="T100" s="46"/>
    </row>
    <row r="101" spans="13:20" ht="15.6" x14ac:dyDescent="0.3">
      <c r="M101" s="52"/>
      <c r="N101" s="53"/>
      <c r="O101" s="55"/>
      <c r="P101" s="54"/>
      <c r="Q101" s="42"/>
      <c r="R101" s="56"/>
      <c r="S101" s="46"/>
      <c r="T101" s="46"/>
    </row>
    <row r="102" spans="13:20" x14ac:dyDescent="0.3">
      <c r="O102" s="57"/>
      <c r="P102" s="109"/>
      <c r="Q102" s="42"/>
      <c r="R102" s="46"/>
      <c r="S102" s="46"/>
      <c r="T102" s="46"/>
    </row>
    <row r="103" spans="13:20" x14ac:dyDescent="0.3">
      <c r="M103" s="47"/>
      <c r="O103" s="42"/>
      <c r="P103" s="42"/>
      <c r="Q103" s="42"/>
      <c r="R103" s="46"/>
      <c r="S103" s="43"/>
      <c r="T103" s="46"/>
    </row>
    <row r="104" spans="13:20" ht="15.6" x14ac:dyDescent="0.3">
      <c r="M104" s="52"/>
      <c r="N104" s="53"/>
      <c r="O104" s="54"/>
      <c r="P104" s="55"/>
      <c r="Q104" s="42"/>
      <c r="R104" s="56"/>
      <c r="S104" s="46"/>
      <c r="T104" s="46"/>
    </row>
    <row r="105" spans="13:20" ht="15.6" x14ac:dyDescent="0.3">
      <c r="M105" s="52"/>
      <c r="N105" s="53"/>
      <c r="O105" s="55"/>
      <c r="P105" s="55"/>
      <c r="Q105" s="42"/>
      <c r="R105" s="56"/>
      <c r="S105" s="46"/>
      <c r="T105" s="46"/>
    </row>
    <row r="106" spans="13:20" ht="15.6" x14ac:dyDescent="0.3">
      <c r="M106" s="52"/>
      <c r="N106" s="53"/>
      <c r="O106" s="55"/>
      <c r="P106" s="55"/>
      <c r="Q106" s="42"/>
      <c r="R106" s="56"/>
      <c r="S106" s="46"/>
      <c r="T106" s="46"/>
    </row>
    <row r="107" spans="13:20" ht="15.6" x14ac:dyDescent="0.3">
      <c r="M107" s="52"/>
      <c r="N107" s="53"/>
      <c r="O107" s="55"/>
      <c r="P107" s="55"/>
      <c r="Q107" s="42"/>
      <c r="R107" s="56"/>
      <c r="S107" s="46"/>
      <c r="T107" s="46"/>
    </row>
    <row r="108" spans="13:20" ht="15.6" x14ac:dyDescent="0.3">
      <c r="M108" s="52"/>
      <c r="N108" s="53"/>
      <c r="O108" s="55"/>
      <c r="P108" s="55"/>
      <c r="Q108" s="42"/>
      <c r="R108" s="56"/>
      <c r="S108" s="46"/>
      <c r="T108" s="46"/>
    </row>
    <row r="109" spans="13:20" ht="15.6" x14ac:dyDescent="0.3">
      <c r="M109" s="52"/>
      <c r="N109" s="53"/>
      <c r="O109" s="55"/>
      <c r="P109" s="55"/>
      <c r="Q109" s="42"/>
      <c r="R109" s="56"/>
      <c r="S109" s="46"/>
      <c r="T109" s="46"/>
    </row>
    <row r="110" spans="13:20" ht="15.6" x14ac:dyDescent="0.3">
      <c r="M110" s="52"/>
      <c r="N110" s="53"/>
      <c r="O110" s="55"/>
      <c r="P110" s="55"/>
      <c r="Q110" s="42"/>
      <c r="R110" s="56"/>
      <c r="S110" s="46"/>
      <c r="T110" s="46"/>
    </row>
    <row r="111" spans="13:20" ht="15.6" x14ac:dyDescent="0.3">
      <c r="M111" s="52"/>
      <c r="N111" s="53"/>
      <c r="O111" s="55"/>
      <c r="P111" s="55"/>
      <c r="Q111" s="42"/>
      <c r="R111" s="56"/>
      <c r="S111" s="46"/>
      <c r="T111" s="46"/>
    </row>
    <row r="112" spans="13:20" ht="15.6" x14ac:dyDescent="0.3">
      <c r="M112" s="52"/>
      <c r="N112" s="53"/>
      <c r="O112" s="55"/>
      <c r="P112" s="54"/>
      <c r="Q112" s="42"/>
      <c r="R112" s="56"/>
      <c r="S112" s="46"/>
      <c r="T112" s="46"/>
    </row>
    <row r="113" spans="13:20" x14ac:dyDescent="0.3">
      <c r="O113" s="57"/>
      <c r="P113" s="109"/>
      <c r="Q113" s="42"/>
      <c r="R113" s="46"/>
      <c r="S113" s="46"/>
      <c r="T113" s="46"/>
    </row>
    <row r="114" spans="13:20" x14ac:dyDescent="0.3">
      <c r="M114" s="47"/>
      <c r="O114" s="42"/>
      <c r="P114" s="42"/>
      <c r="Q114" s="42"/>
      <c r="R114" s="46"/>
      <c r="S114" s="43"/>
      <c r="T114" s="46"/>
    </row>
    <row r="115" spans="13:20" ht="15.6" x14ac:dyDescent="0.3">
      <c r="M115" s="52"/>
      <c r="N115" s="53"/>
      <c r="O115" s="54"/>
      <c r="P115" s="55"/>
      <c r="Q115" s="42"/>
      <c r="R115" s="56"/>
      <c r="S115" s="46"/>
      <c r="T115" s="46"/>
    </row>
    <row r="116" spans="13:20" ht="15.6" x14ac:dyDescent="0.3">
      <c r="M116" s="52"/>
      <c r="N116" s="53"/>
      <c r="O116" s="55"/>
      <c r="P116" s="55"/>
      <c r="Q116" s="42"/>
      <c r="R116" s="56"/>
      <c r="S116" s="46"/>
      <c r="T116" s="46"/>
    </row>
    <row r="117" spans="13:20" ht="15.6" x14ac:dyDescent="0.3">
      <c r="M117" s="52"/>
      <c r="N117" s="53"/>
      <c r="O117" s="55"/>
      <c r="P117" s="55"/>
      <c r="Q117" s="42"/>
      <c r="R117" s="56"/>
      <c r="S117" s="46"/>
      <c r="T117" s="46"/>
    </row>
    <row r="118" spans="13:20" ht="15.6" x14ac:dyDescent="0.3">
      <c r="M118" s="52"/>
      <c r="N118" s="53"/>
      <c r="O118" s="55"/>
      <c r="P118" s="55"/>
      <c r="Q118" s="42"/>
      <c r="R118" s="56"/>
      <c r="S118" s="46"/>
      <c r="T118" s="46"/>
    </row>
    <row r="119" spans="13:20" ht="15.6" x14ac:dyDescent="0.3">
      <c r="M119" s="52"/>
      <c r="N119" s="53"/>
      <c r="O119" s="55"/>
      <c r="P119" s="55"/>
      <c r="Q119" s="42"/>
      <c r="R119" s="56"/>
      <c r="S119" s="46"/>
      <c r="T119" s="46"/>
    </row>
    <row r="120" spans="13:20" ht="15.6" x14ac:dyDescent="0.3">
      <c r="M120" s="52"/>
      <c r="N120" s="53"/>
      <c r="O120" s="55"/>
      <c r="P120" s="55"/>
      <c r="Q120" s="42"/>
      <c r="R120" s="56"/>
      <c r="S120" s="46"/>
      <c r="T120" s="46"/>
    </row>
    <row r="121" spans="13:20" ht="15.6" x14ac:dyDescent="0.3">
      <c r="M121" s="52"/>
      <c r="N121" s="53"/>
      <c r="O121" s="55"/>
      <c r="P121" s="55"/>
      <c r="Q121" s="42"/>
      <c r="R121" s="56"/>
      <c r="S121" s="46"/>
      <c r="T121" s="46"/>
    </row>
    <row r="122" spans="13:20" ht="15.6" x14ac:dyDescent="0.3">
      <c r="M122" s="52"/>
      <c r="N122" s="53"/>
      <c r="O122" s="55"/>
      <c r="P122" s="55"/>
      <c r="Q122" s="42"/>
      <c r="R122" s="56"/>
      <c r="S122" s="46"/>
      <c r="T122" s="46"/>
    </row>
    <row r="123" spans="13:20" ht="15.6" x14ac:dyDescent="0.3">
      <c r="M123" s="52"/>
      <c r="N123" s="53"/>
      <c r="O123" s="55"/>
      <c r="P123" s="54"/>
      <c r="Q123" s="42"/>
      <c r="R123" s="56"/>
      <c r="S123" s="46"/>
      <c r="T123" s="46"/>
    </row>
    <row r="124" spans="13:20" x14ac:dyDescent="0.3">
      <c r="O124" s="57"/>
      <c r="P124" s="109"/>
      <c r="Q124" s="42"/>
      <c r="R124" s="46"/>
      <c r="S124" s="46"/>
      <c r="T124" s="46"/>
    </row>
    <row r="125" spans="13:20" x14ac:dyDescent="0.3">
      <c r="M125" s="47"/>
      <c r="O125" s="42"/>
      <c r="P125" s="42"/>
      <c r="Q125" s="42"/>
      <c r="R125" s="46"/>
      <c r="S125" s="43"/>
      <c r="T125" s="43"/>
    </row>
    <row r="126" spans="13:20" ht="15.6" x14ac:dyDescent="0.3">
      <c r="M126" s="52"/>
      <c r="N126" s="53"/>
      <c r="O126" s="54"/>
      <c r="P126" s="55"/>
      <c r="Q126" s="42"/>
      <c r="R126" s="56"/>
      <c r="S126" s="46"/>
      <c r="T126" s="46"/>
    </row>
    <row r="127" spans="13:20" ht="15.6" x14ac:dyDescent="0.3">
      <c r="M127" s="52"/>
      <c r="N127" s="53"/>
      <c r="O127" s="55"/>
      <c r="P127" s="55"/>
      <c r="Q127" s="42"/>
      <c r="R127" s="56"/>
      <c r="S127" s="46"/>
      <c r="T127" s="46"/>
    </row>
    <row r="128" spans="13:20" ht="15.6" x14ac:dyDescent="0.3">
      <c r="M128" s="52"/>
      <c r="N128" s="53"/>
      <c r="O128" s="55"/>
      <c r="P128" s="55"/>
      <c r="Q128" s="42"/>
      <c r="R128" s="56"/>
      <c r="S128" s="46"/>
      <c r="T128" s="46"/>
    </row>
    <row r="129" spans="13:20" ht="15.6" x14ac:dyDescent="0.3">
      <c r="M129" s="52"/>
      <c r="N129" s="53"/>
      <c r="O129" s="55"/>
      <c r="P129" s="55"/>
      <c r="Q129" s="42"/>
      <c r="R129" s="56"/>
      <c r="S129" s="46"/>
      <c r="T129" s="46"/>
    </row>
    <row r="130" spans="13:20" ht="15.6" x14ac:dyDescent="0.3">
      <c r="M130" s="52"/>
      <c r="N130" s="53"/>
      <c r="O130" s="55"/>
      <c r="P130" s="55"/>
      <c r="Q130" s="42"/>
      <c r="R130" s="56"/>
      <c r="S130" s="46"/>
      <c r="T130" s="46"/>
    </row>
    <row r="131" spans="13:20" ht="15.6" x14ac:dyDescent="0.3">
      <c r="M131" s="52"/>
      <c r="N131" s="53"/>
      <c r="O131" s="55"/>
      <c r="P131" s="55"/>
      <c r="Q131" s="42"/>
      <c r="R131" s="56"/>
      <c r="S131" s="46"/>
      <c r="T131" s="46"/>
    </row>
    <row r="132" spans="13:20" ht="15.6" x14ac:dyDescent="0.3">
      <c r="M132" s="52"/>
      <c r="N132" s="53"/>
      <c r="O132" s="55"/>
      <c r="P132" s="55"/>
      <c r="Q132" s="42"/>
      <c r="R132" s="56"/>
      <c r="S132" s="46"/>
      <c r="T132" s="46"/>
    </row>
    <row r="133" spans="13:20" ht="15.6" x14ac:dyDescent="0.3">
      <c r="M133" s="52"/>
      <c r="N133" s="53"/>
      <c r="O133" s="55"/>
      <c r="P133" s="55"/>
      <c r="Q133" s="42"/>
      <c r="R133" s="56"/>
      <c r="S133" s="46"/>
      <c r="T133" s="46"/>
    </row>
    <row r="134" spans="13:20" ht="15.6" x14ac:dyDescent="0.3">
      <c r="M134" s="52"/>
      <c r="N134" s="53"/>
      <c r="O134" s="55"/>
      <c r="P134" s="54"/>
      <c r="Q134" s="42"/>
      <c r="R134" s="56"/>
      <c r="S134" s="46"/>
      <c r="T134" s="46"/>
    </row>
    <row r="135" spans="13:20" x14ac:dyDescent="0.3">
      <c r="O135" s="57"/>
      <c r="P135" s="109"/>
      <c r="Q135" s="42"/>
      <c r="R135" s="46"/>
      <c r="S135" s="46"/>
      <c r="T135" s="46"/>
    </row>
  </sheetData>
  <sheetProtection algorithmName="SHA-512" hashValue="b50JvYwvc3GchddBf70jsLCyKSZIZrZgKXykZtgITQv0nXuoZSbZXBNROWy/y5kUfXoOuDUzU+ZwRiWiD8ch9A==" saltValue="OhNQvC8mS4kJClxRnucSmw==" spinCount="100000" sheet="1" formatCells="0"/>
  <dataConsolidate/>
  <mergeCells count="13">
    <mergeCell ref="B43:C44"/>
    <mergeCell ref="D43:G43"/>
    <mergeCell ref="D44:G44"/>
    <mergeCell ref="B2:H2"/>
    <mergeCell ref="J2:J3"/>
    <mergeCell ref="B4:C4"/>
    <mergeCell ref="F4:G4"/>
    <mergeCell ref="J4:J10"/>
    <mergeCell ref="B5:C5"/>
    <mergeCell ref="F5:G5"/>
    <mergeCell ref="B6:C6"/>
    <mergeCell ref="F6:G6"/>
    <mergeCell ref="B7:C7"/>
  </mergeCells>
  <conditionalFormatting sqref="E10:E40">
    <cfRule type="expression" dxfId="0" priority="1">
      <formula>E10&gt;$D$5</formula>
    </cfRule>
  </conditionalFormatting>
  <dataValidations count="3">
    <dataValidation type="list" allowBlank="1" showInputMessage="1" showErrorMessage="1" sqref="E10:E40" xr:uid="{456E989D-A2B1-4DB9-A9AD-92E30E25A74A}">
      <formula1>$Z$10:$Z$21</formula1>
    </dataValidation>
    <dataValidation type="list" allowBlank="1" showInputMessage="1" showErrorMessage="1" sqref="B10:B40" xr:uid="{A7A50694-97DC-469A-B195-5CC6FD7506BA}">
      <formula1>$M$10:$M$18</formula1>
    </dataValidation>
    <dataValidation type="list" allowBlank="1" showInputMessage="1" showErrorMessage="1" sqref="D10:D40" xr:uid="{99B65753-F3F0-48BC-A78E-BD948FE17CD6}">
      <formula1>$AA$10:$AA$22</formula1>
    </dataValidation>
  </dataValidations>
  <pageMargins left="0.7" right="0.7" top="0.75" bottom="0.75" header="0.3" footer="0.3"/>
  <pageSetup orientation="portrait" horizontalDpi="300" verticalDpi="300"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BCF08643-32CD-4303-8BD7-A023AC86A143}">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8</vt:i4>
      </vt:variant>
      <vt:variant>
        <vt:lpstr>Named Ranges</vt:lpstr>
      </vt:variant>
      <vt:variant>
        <vt:i4>35</vt:i4>
      </vt:variant>
    </vt:vector>
  </HeadingPairs>
  <TitlesOfParts>
    <vt:vector size="43" baseType="lpstr">
      <vt:lpstr>Instructions</vt:lpstr>
      <vt:lpstr>CO</vt:lpstr>
      <vt:lpstr>DO</vt:lpstr>
      <vt:lpstr>MX</vt:lpstr>
      <vt:lpstr>NI</vt:lpstr>
      <vt:lpstr>GH</vt:lpstr>
      <vt:lpstr>CM</vt:lpstr>
      <vt:lpstr>CI</vt:lpstr>
      <vt:lpstr>CI!basicLWB</vt:lpstr>
      <vt:lpstr>CM!basicLWB</vt:lpstr>
      <vt:lpstr>DO!basicLWB</vt:lpstr>
      <vt:lpstr>GH!basicLWB</vt:lpstr>
      <vt:lpstr>MX!basicLWB</vt:lpstr>
      <vt:lpstr>NI!basicLWB</vt:lpstr>
      <vt:lpstr>basicLWB</vt:lpstr>
      <vt:lpstr>CI!daysperweek</vt:lpstr>
      <vt:lpstr>CM!daysperweek</vt:lpstr>
      <vt:lpstr>DO!daysperweek</vt:lpstr>
      <vt:lpstr>GH!daysperweek</vt:lpstr>
      <vt:lpstr>MX!daysperweek</vt:lpstr>
      <vt:lpstr>NI!daysperweek</vt:lpstr>
      <vt:lpstr>daysperweek</vt:lpstr>
      <vt:lpstr>CI!LWgap</vt:lpstr>
      <vt:lpstr>CM!LWgap</vt:lpstr>
      <vt:lpstr>DO!LWgap</vt:lpstr>
      <vt:lpstr>GH!LWgap</vt:lpstr>
      <vt:lpstr>MX!LWgap</vt:lpstr>
      <vt:lpstr>NI!LWgap</vt:lpstr>
      <vt:lpstr>LWgap</vt:lpstr>
      <vt:lpstr>CI!maxFP30</vt:lpstr>
      <vt:lpstr>CM!maxFP30</vt:lpstr>
      <vt:lpstr>DO!maxFP30</vt:lpstr>
      <vt:lpstr>GH!maxFP30</vt:lpstr>
      <vt:lpstr>MX!maxFP30</vt:lpstr>
      <vt:lpstr>NI!maxFP30</vt:lpstr>
      <vt:lpstr>maxFP30</vt:lpstr>
      <vt:lpstr>CI!promedio</vt:lpstr>
      <vt:lpstr>CM!promedio</vt:lpstr>
      <vt:lpstr>DO!promedio</vt:lpstr>
      <vt:lpstr>GH!promedio</vt:lpstr>
      <vt:lpstr>MX!promedio</vt:lpstr>
      <vt:lpstr>NI!promedio</vt:lpstr>
      <vt:lpstr>promedio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Marike de Peña</dc:creator>
  <cp:lastModifiedBy>Jose Paredes</cp:lastModifiedBy>
  <dcterms:created xsi:type="dcterms:W3CDTF">2024-10-29T12:37:36Z</dcterms:created>
  <dcterms:modified xsi:type="dcterms:W3CDTF">2025-04-08T07:39:55Z</dcterms:modified>
</cp:coreProperties>
</file>